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034ABD24-438D-4ABA-B81C-122C0344ACDA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69" r:id="rId1"/>
    <sheet name="産業大分類" sheetId="5" r:id="rId2"/>
    <sheet name="産業中分類" sheetId="6" r:id="rId3"/>
    <sheet name="産業小分類" sheetId="7" r:id="rId4"/>
    <sheet name="千葉県" sheetId="8" r:id="rId5"/>
    <sheet name="千葉市" sheetId="9" r:id="rId6"/>
    <sheet name="千葉市中央区" sheetId="10" r:id="rId7"/>
    <sheet name="千葉市花見川区" sheetId="11" r:id="rId8"/>
    <sheet name="千葉市稲毛区" sheetId="12" r:id="rId9"/>
    <sheet name="千葉市若葉区" sheetId="13" r:id="rId10"/>
    <sheet name="千葉市緑区" sheetId="14" r:id="rId11"/>
    <sheet name="千葉市美浜区" sheetId="15" r:id="rId12"/>
    <sheet name="銚子市" sheetId="16" r:id="rId13"/>
    <sheet name="市川市" sheetId="17" r:id="rId14"/>
    <sheet name="船橋市" sheetId="18" r:id="rId15"/>
    <sheet name="館山市" sheetId="19" r:id="rId16"/>
    <sheet name="木更津市" sheetId="20" r:id="rId17"/>
    <sheet name="松戸市" sheetId="21" r:id="rId18"/>
    <sheet name="野田市" sheetId="22" r:id="rId19"/>
    <sheet name="茂原市" sheetId="23" r:id="rId20"/>
    <sheet name="成田市" sheetId="24" r:id="rId21"/>
    <sheet name="佐倉市" sheetId="25" r:id="rId22"/>
    <sheet name="東金市" sheetId="26" r:id="rId23"/>
    <sheet name="旭市" sheetId="27" r:id="rId24"/>
    <sheet name="習志野市" sheetId="28" r:id="rId25"/>
    <sheet name="柏市" sheetId="29" r:id="rId26"/>
    <sheet name="勝浦市" sheetId="30" r:id="rId27"/>
    <sheet name="市原市" sheetId="31" r:id="rId28"/>
    <sheet name="流山市" sheetId="32" r:id="rId29"/>
    <sheet name="八千代市" sheetId="33" r:id="rId30"/>
    <sheet name="我孫子市" sheetId="34" r:id="rId31"/>
    <sheet name="鴨川市" sheetId="35" r:id="rId32"/>
    <sheet name="鎌ケ谷市" sheetId="36" r:id="rId33"/>
    <sheet name="君津市" sheetId="37" r:id="rId34"/>
    <sheet name="富津市" sheetId="38" r:id="rId35"/>
    <sheet name="浦安市" sheetId="39" r:id="rId36"/>
    <sheet name="四街道市" sheetId="40" r:id="rId37"/>
    <sheet name="袖ケ浦市" sheetId="41" r:id="rId38"/>
    <sheet name="八街市" sheetId="42" r:id="rId39"/>
    <sheet name="印西市" sheetId="43" r:id="rId40"/>
    <sheet name="白井市" sheetId="44" r:id="rId41"/>
    <sheet name="富里市" sheetId="45" r:id="rId42"/>
    <sheet name="南房総市" sheetId="46" r:id="rId43"/>
    <sheet name="匝瑳市" sheetId="47" r:id="rId44"/>
    <sheet name="香取市" sheetId="48" r:id="rId45"/>
    <sheet name="山武市" sheetId="49" r:id="rId46"/>
    <sheet name="いすみ市" sheetId="50" r:id="rId47"/>
    <sheet name="大網白里市" sheetId="51" r:id="rId48"/>
    <sheet name="印旛郡酒々井町" sheetId="52" r:id="rId49"/>
    <sheet name="印旛郡栄町" sheetId="53" r:id="rId50"/>
    <sheet name="香取郡神崎町" sheetId="54" r:id="rId51"/>
    <sheet name="香取郡多古町" sheetId="55" r:id="rId52"/>
    <sheet name="香取郡東庄町" sheetId="56" r:id="rId53"/>
    <sheet name="山武郡九十九里町" sheetId="57" r:id="rId54"/>
    <sheet name="山武郡芝山町" sheetId="58" r:id="rId55"/>
    <sheet name="山武郡横芝光町" sheetId="59" r:id="rId56"/>
    <sheet name="長生郡一宮町" sheetId="60" r:id="rId57"/>
    <sheet name="長生郡睦沢町" sheetId="61" r:id="rId58"/>
    <sheet name="長生郡長生村" sheetId="62" r:id="rId59"/>
    <sheet name="長生郡白子町" sheetId="63" r:id="rId60"/>
    <sheet name="長生郡長柄町" sheetId="64" r:id="rId61"/>
    <sheet name="長生郡長南町" sheetId="65" r:id="rId62"/>
    <sheet name="夷隅郡大多喜町" sheetId="66" r:id="rId63"/>
    <sheet name="夷隅郡御宿町" sheetId="67" r:id="rId64"/>
    <sheet name="安房郡鋸南町" sheetId="68" r:id="rId65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61" r:id="rId66"/>
    <pivotCache cacheId="2162" r:id="rId67"/>
    <pivotCache cacheId="2163" r:id="rId6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68" l="1"/>
  <c r="G21" i="68"/>
  <c r="E21" i="68"/>
  <c r="I20" i="68"/>
  <c r="G20" i="68"/>
  <c r="E20" i="68"/>
  <c r="C20" i="68"/>
  <c r="I21" i="67"/>
  <c r="G21" i="67"/>
  <c r="E21" i="67"/>
  <c r="I20" i="67"/>
  <c r="G20" i="67"/>
  <c r="E20" i="67"/>
  <c r="C20" i="67"/>
  <c r="I21" i="66"/>
  <c r="G21" i="66"/>
  <c r="E21" i="66"/>
  <c r="I20" i="66"/>
  <c r="G20" i="66"/>
  <c r="E20" i="66"/>
  <c r="C20" i="66"/>
  <c r="I21" i="65"/>
  <c r="G21" i="65"/>
  <c r="E21" i="65"/>
  <c r="I20" i="65"/>
  <c r="G20" i="65"/>
  <c r="E20" i="65"/>
  <c r="C20" i="65"/>
  <c r="I21" i="64"/>
  <c r="G21" i="64"/>
  <c r="E21" i="64"/>
  <c r="I20" i="64"/>
  <c r="G20" i="64"/>
  <c r="E20" i="64"/>
  <c r="C20" i="64"/>
  <c r="I21" i="63"/>
  <c r="G21" i="63"/>
  <c r="E21" i="63"/>
  <c r="I20" i="63"/>
  <c r="G20" i="63"/>
  <c r="E20" i="63"/>
  <c r="C20" i="63"/>
  <c r="I21" i="62"/>
  <c r="G21" i="62"/>
  <c r="E21" i="62"/>
  <c r="I20" i="62"/>
  <c r="G20" i="62"/>
  <c r="E20" i="62"/>
  <c r="C20" i="62"/>
  <c r="I21" i="61"/>
  <c r="G21" i="61"/>
  <c r="E21" i="61"/>
  <c r="I20" i="61"/>
  <c r="G20" i="61"/>
  <c r="E20" i="61"/>
  <c r="C20" i="61"/>
  <c r="I21" i="60"/>
  <c r="G21" i="60"/>
  <c r="E21" i="60"/>
  <c r="I20" i="60"/>
  <c r="G20" i="60"/>
  <c r="E20" i="60"/>
  <c r="C20" i="60"/>
  <c r="I21" i="59"/>
  <c r="G21" i="59"/>
  <c r="E21" i="59"/>
  <c r="I20" i="59"/>
  <c r="G20" i="59"/>
  <c r="E20" i="59"/>
  <c r="C20" i="59"/>
  <c r="I21" i="58"/>
  <c r="G21" i="58"/>
  <c r="E21" i="58"/>
  <c r="I20" i="58"/>
  <c r="G20" i="58"/>
  <c r="E20" i="58"/>
  <c r="C20" i="58"/>
  <c r="I21" i="57"/>
  <c r="G21" i="57"/>
  <c r="E21" i="57"/>
  <c r="I20" i="57"/>
  <c r="G20" i="57"/>
  <c r="E20" i="57"/>
  <c r="C20" i="57"/>
  <c r="I21" i="56"/>
  <c r="G21" i="56"/>
  <c r="E21" i="56"/>
  <c r="I20" i="56"/>
  <c r="G20" i="56"/>
  <c r="E20" i="56"/>
  <c r="C20" i="56"/>
  <c r="I21" i="55"/>
  <c r="G21" i="55"/>
  <c r="E21" i="55"/>
  <c r="I20" i="55"/>
  <c r="G20" i="55"/>
  <c r="E20" i="55"/>
  <c r="C20" i="55"/>
  <c r="I21" i="54"/>
  <c r="G21" i="54"/>
  <c r="E21" i="54"/>
  <c r="I20" i="54"/>
  <c r="G20" i="54"/>
  <c r="E20" i="54"/>
  <c r="C20" i="54"/>
  <c r="I21" i="53"/>
  <c r="G21" i="53"/>
  <c r="E21" i="53"/>
  <c r="I20" i="53"/>
  <c r="G20" i="53"/>
  <c r="E20" i="53"/>
  <c r="C20" i="53"/>
  <c r="I21" i="52"/>
  <c r="G21" i="52"/>
  <c r="E21" i="52"/>
  <c r="I20" i="52"/>
  <c r="G20" i="52"/>
  <c r="E20" i="52"/>
  <c r="C20" i="52"/>
  <c r="I21" i="51"/>
  <c r="G21" i="51"/>
  <c r="E21" i="51"/>
  <c r="I20" i="51"/>
  <c r="G20" i="51"/>
  <c r="E20" i="51"/>
  <c r="C20" i="51"/>
  <c r="I21" i="50"/>
  <c r="G21" i="50"/>
  <c r="E21" i="50"/>
  <c r="I20" i="50"/>
  <c r="G20" i="50"/>
  <c r="E20" i="50"/>
  <c r="C20" i="50"/>
  <c r="I21" i="49"/>
  <c r="G21" i="49"/>
  <c r="E21" i="49"/>
  <c r="I20" i="49"/>
  <c r="G20" i="49"/>
  <c r="E20" i="49"/>
  <c r="C20" i="49"/>
  <c r="I21" i="48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<sst xmlns="http://schemas.openxmlformats.org/spreadsheetml/2006/main" count="9057" uniqueCount="374">
  <si>
    <t>12000 千葉県</t>
  </si>
  <si>
    <t>12100 千葉市</t>
  </si>
  <si>
    <t>12101 千葉市中央区</t>
  </si>
  <si>
    <t>12102 千葉市花見川区</t>
  </si>
  <si>
    <t>12103 千葉市稲毛区</t>
  </si>
  <si>
    <t>12104 千葉市若葉区</t>
  </si>
  <si>
    <t>12105 千葉市緑区</t>
  </si>
  <si>
    <t>12106 千葉市美浜区</t>
  </si>
  <si>
    <t>12202 銚子市</t>
  </si>
  <si>
    <t>12203 市川市</t>
  </si>
  <si>
    <t>12204 船橋市</t>
  </si>
  <si>
    <t>12205 館山市</t>
  </si>
  <si>
    <t>12206 木更津市</t>
  </si>
  <si>
    <t>12207 松戸市</t>
  </si>
  <si>
    <t>12208 野田市</t>
  </si>
  <si>
    <t>12210 茂原市</t>
  </si>
  <si>
    <t>12211 成田市</t>
  </si>
  <si>
    <t>12212 佐倉市</t>
  </si>
  <si>
    <t>12213 東金市</t>
  </si>
  <si>
    <t>12215 旭市</t>
  </si>
  <si>
    <t>12216 習志野市</t>
  </si>
  <si>
    <t>12217 柏市</t>
  </si>
  <si>
    <t>12218 勝浦市</t>
  </si>
  <si>
    <t>12219 市原市</t>
  </si>
  <si>
    <t>12220 流山市</t>
  </si>
  <si>
    <t>12221 八千代市</t>
  </si>
  <si>
    <t>12222 我孫子市</t>
  </si>
  <si>
    <t>12223 鴨川市</t>
  </si>
  <si>
    <t>12224 鎌ケ谷市</t>
  </si>
  <si>
    <t>12225 君津市</t>
  </si>
  <si>
    <t>12226 富津市</t>
  </si>
  <si>
    <t>12227 浦安市</t>
  </si>
  <si>
    <t>12228 四街道市</t>
  </si>
  <si>
    <t>12229 袖ケ浦市</t>
  </si>
  <si>
    <t>12230 八街市</t>
  </si>
  <si>
    <t>12231 印西市</t>
  </si>
  <si>
    <t>12232 白井市</t>
  </si>
  <si>
    <t>12233 富里市</t>
  </si>
  <si>
    <t>12234 南房総市</t>
  </si>
  <si>
    <t>12235 匝瑳市</t>
  </si>
  <si>
    <t>12236 香取市</t>
  </si>
  <si>
    <t>12237 山武市</t>
  </si>
  <si>
    <t>12238 いすみ市</t>
  </si>
  <si>
    <t>12239 大網白里市</t>
  </si>
  <si>
    <t>12322 印旛郡酒々井町</t>
  </si>
  <si>
    <t>12329 印旛郡栄町</t>
  </si>
  <si>
    <t>12342 香取郡神崎町</t>
  </si>
  <si>
    <t>12347 香取郡多古町</t>
  </si>
  <si>
    <t>12349 香取郡東庄町</t>
  </si>
  <si>
    <t>12403 山武郡九十九里町</t>
  </si>
  <si>
    <t>12409 山武郡芝山町</t>
  </si>
  <si>
    <t>12410 山武郡横芝光町</t>
  </si>
  <si>
    <t>12421 長生郡一宮町</t>
  </si>
  <si>
    <t>12422 長生郡睦沢町</t>
  </si>
  <si>
    <t>12423 長生郡長生村</t>
  </si>
  <si>
    <t>12424 長生郡白子町</t>
  </si>
  <si>
    <t>12426 長生郡長柄町</t>
  </si>
  <si>
    <t>12427 長生郡長南町</t>
  </si>
  <si>
    <t>12441 夷隅郡大多喜町</t>
  </si>
  <si>
    <t>12443 夷隅郡御宿町</t>
  </si>
  <si>
    <t>12463 安房郡鋸南町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</si>
  <si>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</si>
  <si>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</si>
  <si>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</si>
  <si>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</si>
  <si>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</si>
  <si>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</si>
  <si>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</si>
  <si>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</si>
  <si>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</si>
  <si>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</si>
  <si>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</si>
  <si>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</si>
  <si>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</si>
  <si>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</si>
  <si>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</si>
  <si>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</si>
  <si>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</si>
  <si>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</si>
  <si>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</si>
  <si>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</si>
  <si>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</si>
  <si>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</si>
  <si>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</si>
  <si>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</si>
  <si>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</si>
  <si>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</si>
  <si>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53 建築材料，鉱物・金属材料等卸売業</t>
  </si>
  <si>
    <t>54 機械器具卸売業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</si>
  <si>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</si>
  <si>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</si>
  <si>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</si>
  <si>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</si>
  <si>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</si>
  <si>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</si>
  <si>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</si>
  <si>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</si>
  <si>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</si>
  <si>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</si>
  <si>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</si>
  <si>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</si>
  <si>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</si>
  <si>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85 社会保険・社会福祉・介護事業</t>
  </si>
  <si>
    <t>89 自動車整備業</t>
  </si>
  <si>
    <t>55 その他の卸売業</t>
  </si>
  <si>
    <t>92 その他の事業サービス業</t>
  </si>
  <si>
    <t>24 金属製品製造業</t>
  </si>
  <si>
    <t>77 持ち帰り・配達飲食サービス業</t>
  </si>
  <si>
    <t>39 情報サービス業</t>
  </si>
  <si>
    <t>52 飲食料品卸売業</t>
  </si>
  <si>
    <t>09 食料品製造業</t>
  </si>
  <si>
    <t>75 宿泊業</t>
  </si>
  <si>
    <t>80 娯楽業</t>
  </si>
  <si>
    <t>67 保険業（保険媒介代理業，保険サービス業を含む）</t>
  </si>
  <si>
    <t>44 道路貨物運送業</t>
  </si>
  <si>
    <t>48 運輸に附帯するサービス業</t>
  </si>
  <si>
    <t>13 家具・装備品製造業</t>
  </si>
  <si>
    <t>26 生産用機械器具製造業</t>
  </si>
  <si>
    <t>70 物品賃貸業</t>
  </si>
  <si>
    <t>32 その他の製造業</t>
  </si>
  <si>
    <t>61 無店舗小売業</t>
  </si>
  <si>
    <t>47 倉庫業</t>
  </si>
  <si>
    <t>18 プラスチック製品製造業（別掲を除く）</t>
  </si>
  <si>
    <t>10 飲料・たばこ・飼料製造業</t>
  </si>
  <si>
    <t>15 印刷・同関連業</t>
  </si>
  <si>
    <t>19 ゴム製品製造業</t>
  </si>
  <si>
    <t>21 窯業・土石製品製造業</t>
  </si>
  <si>
    <t>23 非鉄金属製造業</t>
  </si>
  <si>
    <t>25 はん用機械器具製造業</t>
  </si>
  <si>
    <t>28 電子部品・デバイス・電子回路製造業</t>
  </si>
  <si>
    <t>88 廃棄物処理業</t>
  </si>
  <si>
    <t>33 電気業</t>
  </si>
  <si>
    <t>11 繊維工業</t>
  </si>
  <si>
    <t>20 なめし革・同製品・毛皮製造業</t>
  </si>
  <si>
    <t>31 輸送用機械器具製造業</t>
  </si>
  <si>
    <t>14 パルプ・紙・紙加工品製造業</t>
  </si>
  <si>
    <t>22 鉄鋼業</t>
  </si>
  <si>
    <t>29 電気機械器具製造業</t>
  </si>
  <si>
    <t>36 水道業</t>
  </si>
  <si>
    <t>73 広告業</t>
  </si>
  <si>
    <t>16 化学工業</t>
  </si>
  <si>
    <t>12 木材・木製品製造業（家具を除く）</t>
  </si>
  <si>
    <t>27 業務用機械器具製造業</t>
  </si>
  <si>
    <t>43 道路旅客運送業</t>
  </si>
  <si>
    <t>05 鉱業，採石業，砂利採取業</t>
  </si>
  <si>
    <t>90 機械等修理業（別掲を除く）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</si>
  <si>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</si>
  <si>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</si>
  <si>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</si>
  <si>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</si>
  <si>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</si>
  <si>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066 建築リフォーム工事業</t>
  </si>
  <si>
    <t>081 電気工事業</t>
  </si>
  <si>
    <t>083 管工事業（さく井工事業を除く）</t>
  </si>
  <si>
    <t>589 その他の飲食料品小売業</t>
  </si>
  <si>
    <t>591 自動車小売業</t>
  </si>
  <si>
    <t>609 他に分類されない小売業</t>
  </si>
  <si>
    <t>691 不動産賃貸業（貸家業，貸間業を除く）</t>
  </si>
  <si>
    <t>692 貸家業，貸間業</t>
  </si>
  <si>
    <t>694 不動産管理業</t>
  </si>
  <si>
    <t>742 土木建築サービス業</t>
  </si>
  <si>
    <t>762 専門料理店</t>
  </si>
  <si>
    <t>765 酒場，ビヤホール</t>
  </si>
  <si>
    <t>782 理容業</t>
  </si>
  <si>
    <t>783 美容業</t>
  </si>
  <si>
    <t>824 教養・技能教授業</t>
  </si>
  <si>
    <t>835 療術業</t>
  </si>
  <si>
    <t>891 自動車整備業</t>
  </si>
  <si>
    <t>603 医薬品・化粧品小売業</t>
  </si>
  <si>
    <t>781 洗濯業</t>
  </si>
  <si>
    <t>833 歯科診療所</t>
  </si>
  <si>
    <t>682 不動産代理業・仲介業</t>
  </si>
  <si>
    <t>721 法律事務所，特許事務所</t>
  </si>
  <si>
    <t>789 その他の洗濯・理容・美容・浴場業</t>
  </si>
  <si>
    <t>079 その他の職別工事業</t>
  </si>
  <si>
    <t>072 とび・土工・コンクリート工事業</t>
  </si>
  <si>
    <t>078 床・内装工事業</t>
  </si>
  <si>
    <t>573 婦人・子供服小売業</t>
  </si>
  <si>
    <t>729 その他の専門サービス業</t>
  </si>
  <si>
    <t>799 他に分類されない生活関連サービス業</t>
  </si>
  <si>
    <t>823 学習塾</t>
  </si>
  <si>
    <t>854 老人福祉・介護事業</t>
  </si>
  <si>
    <t>391 ソフトウェア業</t>
  </si>
  <si>
    <t>521 農畜産物・水産物卸売業</t>
  </si>
  <si>
    <t>559 他に分類されない卸売業</t>
  </si>
  <si>
    <t>579 その他の織物・衣服・身の回り品小売業</t>
  </si>
  <si>
    <t>929 他に分類されない事業サービス業</t>
  </si>
  <si>
    <t>092 水産食料品製造業</t>
  </si>
  <si>
    <t>531 建築材料卸売業</t>
  </si>
  <si>
    <t>584 鮮魚小売業</t>
  </si>
  <si>
    <t>586 菓子・パン小売業</t>
  </si>
  <si>
    <t>605 燃料小売業</t>
  </si>
  <si>
    <t>761 食堂，レストラン（専門料理店を除く）</t>
  </si>
  <si>
    <t>766 バー，キャバレー，ナイトクラブ</t>
  </si>
  <si>
    <t>751 旅館，ホテル</t>
  </si>
  <si>
    <t>767 喫茶店</t>
  </si>
  <si>
    <t>077 塗装工事業</t>
  </si>
  <si>
    <t>071 大工工事業</t>
  </si>
  <si>
    <t>585 酒小売業</t>
  </si>
  <si>
    <t>693 駐車場業</t>
  </si>
  <si>
    <t>809 その他の娯楽業</t>
  </si>
  <si>
    <t>084 機械器具設置工事業</t>
  </si>
  <si>
    <t>607 スポーツ用品・がん具・娯楽用品・楽器小売業</t>
  </si>
  <si>
    <t>244 建設用・建築用金属製品製造業（製缶板金業を含む）</t>
  </si>
  <si>
    <t>593 機械器具小売業（自動車，自転車を除く）</t>
  </si>
  <si>
    <t>728 経営コンサルタント業，純粋持株会社</t>
  </si>
  <si>
    <t>542 自動車卸売業</t>
  </si>
  <si>
    <t>611 通信販売・訪問販売小売業</t>
  </si>
  <si>
    <t>855 障害者福祉事業</t>
  </si>
  <si>
    <t>076 板金・金物工事業</t>
  </si>
  <si>
    <t>681 建物売買業，土地売買業</t>
  </si>
  <si>
    <t>572 男子服小売業</t>
  </si>
  <si>
    <t>602 じゅう器小売業</t>
  </si>
  <si>
    <t>608 写真機・時計・眼鏡小売業</t>
  </si>
  <si>
    <t>604 農耕用品小売業</t>
  </si>
  <si>
    <t>674 保険媒介代理業</t>
  </si>
  <si>
    <t>094 調味料製造業</t>
  </si>
  <si>
    <t>289 その他の電子部品・デバイス・電子回路製造業</t>
  </si>
  <si>
    <t>522 食料・飲料卸売業</t>
  </si>
  <si>
    <t>601 家具・建具・畳小売業</t>
  </si>
  <si>
    <t>836 医療に附帯するサービス業</t>
  </si>
  <si>
    <t>073 鉄骨・鉄筋工事業</t>
  </si>
  <si>
    <t>722 公証人役場，司法書士事務所，土地家屋調査士事務所</t>
  </si>
  <si>
    <t>207 袋物製造業</t>
  </si>
  <si>
    <t>441 一般貨物自動車運送業</t>
  </si>
  <si>
    <t>471 倉庫業（冷蔵倉庫業を除く）</t>
  </si>
  <si>
    <t>484 こん包業</t>
  </si>
  <si>
    <t>771 持ち帰り飲食サービス業</t>
  </si>
  <si>
    <t>212 セメント・同製品製造業</t>
  </si>
  <si>
    <t>269 その他の生産用機械・同部分品製造業</t>
  </si>
  <si>
    <t>581 各種食料品小売業</t>
  </si>
  <si>
    <t>541 産業機械器具卸売業</t>
  </si>
  <si>
    <t>582 野菜・果実小売業</t>
  </si>
  <si>
    <t>097 パン・菓子製造業</t>
  </si>
  <si>
    <t>082 電気通信・信号装置工事業</t>
  </si>
  <si>
    <t>121 製材業，木製品製造業</t>
  </si>
  <si>
    <t>184 発泡・強化プラスチック製品製造業</t>
  </si>
  <si>
    <t>229 その他の鉄鋼業</t>
  </si>
  <si>
    <t>253 一般産業用機械・装置製造業</t>
  </si>
  <si>
    <t>259 その他のはん用機械・同部分品製造業</t>
  </si>
  <si>
    <t>881 一般廃棄物処理業</t>
  </si>
  <si>
    <t>882 産業廃棄物処理業</t>
  </si>
  <si>
    <t>759 その他の宿泊業</t>
  </si>
  <si>
    <t>763 そば・うどん店</t>
  </si>
  <si>
    <t>606 書籍・文房具小売業</t>
  </si>
  <si>
    <t>産業小分類</t>
  </si>
  <si>
    <t>12000　千葉県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</si>
  <si>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</si>
  <si>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</si>
  <si>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</si>
  <si>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</si>
  <si>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</si>
  <si>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12100　千葉市</t>
  </si>
  <si>
    <t>12101　千葉市中央区</t>
  </si>
  <si>
    <t>12102　千葉市花見川区</t>
  </si>
  <si>
    <t>12103　千葉市稲毛区</t>
  </si>
  <si>
    <t>12104　千葉市若葉区</t>
  </si>
  <si>
    <t>12105　千葉市緑区</t>
  </si>
  <si>
    <t>12106　千葉市美浜区</t>
  </si>
  <si>
    <t>12202　銚子市</t>
  </si>
  <si>
    <t>12203　市川市</t>
  </si>
  <si>
    <t>12204　船橋市</t>
  </si>
  <si>
    <t>12205　館山市</t>
  </si>
  <si>
    <t>12206　木更津市</t>
  </si>
  <si>
    <t>12207　松戸市</t>
  </si>
  <si>
    <t>12208　野田市</t>
  </si>
  <si>
    <t>12210　茂原市</t>
  </si>
  <si>
    <t>12211　成田市</t>
  </si>
  <si>
    <t>12212　佐倉市</t>
  </si>
  <si>
    <t>12213　東金市</t>
  </si>
  <si>
    <t>12215　旭市</t>
  </si>
  <si>
    <t>12216　習志野市</t>
  </si>
  <si>
    <t>12217　柏市</t>
  </si>
  <si>
    <t>12218　勝浦市</t>
  </si>
  <si>
    <t>12219　市原市</t>
  </si>
  <si>
    <t>12220　流山市</t>
  </si>
  <si>
    <t>12221　八千代市</t>
  </si>
  <si>
    <t>12222　我孫子市</t>
  </si>
  <si>
    <t>12223　鴨川市</t>
  </si>
  <si>
    <t>12224　鎌ケ谷市</t>
  </si>
  <si>
    <t>12225　君津市</t>
  </si>
  <si>
    <t>12226　富津市</t>
  </si>
  <si>
    <t>12227　浦安市</t>
  </si>
  <si>
    <t>12228　四街道市</t>
  </si>
  <si>
    <t>12229　袖ケ浦市</t>
  </si>
  <si>
    <t>12230　八街市</t>
  </si>
  <si>
    <t>12231　印西市</t>
  </si>
  <si>
    <t>12232　白井市</t>
  </si>
  <si>
    <t>12233　富里市</t>
  </si>
  <si>
    <t>12234　南房総市</t>
  </si>
  <si>
    <t>12235　匝瑳市</t>
  </si>
  <si>
    <t>12236　香取市</t>
  </si>
  <si>
    <t>12237　山武市</t>
  </si>
  <si>
    <t>12238　いすみ市</t>
  </si>
  <si>
    <t>12239　大網白里市</t>
  </si>
  <si>
    <t>12322　印旛郡酒々井町</t>
  </si>
  <si>
    <t>12329　印旛郡栄町</t>
  </si>
  <si>
    <t>12342　香取郡神崎町</t>
  </si>
  <si>
    <t>12347　香取郡多古町</t>
  </si>
  <si>
    <t>12349　香取郡東庄町</t>
  </si>
  <si>
    <t>12403　山武郡九十九里町</t>
  </si>
  <si>
    <t>12409　山武郡芝山町</t>
  </si>
  <si>
    <t>12410　山武郡横芝光町</t>
  </si>
  <si>
    <t>12421　長生郡一宮町</t>
  </si>
  <si>
    <t>12422　長生郡睦沢町</t>
  </si>
  <si>
    <t>12423　長生郡長生村</t>
  </si>
  <si>
    <t>12424　長生郡白子町</t>
  </si>
  <si>
    <t>12426　長生郡長柄町</t>
  </si>
  <si>
    <t>12427　長生郡長南町</t>
  </si>
  <si>
    <t>12441　夷隅郡大多喜町</t>
  </si>
  <si>
    <t>12443　夷隅郡御宿町</t>
  </si>
  <si>
    <t>12463　安房郡鋸南町</t>
  </si>
  <si>
    <t>千葉県</t>
  </si>
  <si>
    <t>千葉市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</si>
  <si>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</si>
  <si>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</si>
  <si>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</si>
  <si>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</si>
  <si>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</si>
  <si>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</si>
  <si>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</si>
  <si>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</si>
  <si>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</si>
  <si>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</si>
  <si>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</si>
  <si>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</si>
  <si>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</si>
  <si>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</si>
  <si>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</si>
  <si>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</si>
  <si>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</si>
  <si>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</si>
  <si>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</si>
  <si>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</si>
  <si>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</si>
  <si>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</si>
  <si>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</si>
  <si>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</si>
  <si>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</si>
  <si>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</si>
  <si>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</si>
  <si>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</si>
  <si>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</si>
  <si>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</si>
  <si>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</si>
  <si>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</si>
  <si>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</si>
  <si>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</si>
  <si>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</si>
  <si>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</si>
  <si>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</si>
  <si>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</si>
  <si>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</si>
  <si>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</si>
  <si>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</si>
  <si>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</si>
  <si>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印旛郡酒々井町</t>
  </si>
  <si>
    <t>印旛郡栄町</t>
  </si>
  <si>
    <t>香取郡神崎町</t>
  </si>
  <si>
    <t>香取郡多古町</t>
  </si>
  <si>
    <t>香取郡東庄町</t>
  </si>
  <si>
    <t>山武郡九十九里町</t>
  </si>
  <si>
    <t>山武郡芝山町</t>
  </si>
  <si>
    <t>山武郡横芝光町</t>
  </si>
  <si>
    <t>長生郡一宮町</t>
  </si>
  <si>
    <t>長生郡睦沢町</t>
  </si>
  <si>
    <t>長生郡長生村</t>
  </si>
  <si>
    <t>長生郡白子町</t>
  </si>
  <si>
    <t>長生郡長柄町</t>
  </si>
  <si>
    <t>長生郡長南町</t>
  </si>
  <si>
    <t>夷隅郡大多喜町</t>
  </si>
  <si>
    <t>夷隅郡御宿町</t>
  </si>
  <si>
    <t>安房郡鋸南町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</si>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</sst>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904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pivotCacheDefinition" Target="pivotCache/pivotCacheDefinition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8663425923" createdVersion="5" refreshedVersion="8" minRefreshableVersion="3" recordCount="915" xr:uid="{703B7198-00D8-48F4-9E18-98F9A5938FC8}">
  <cacheSource type="external" connectionId="1"/>
  <cacheFields count="11">
    <cacheField name="都道府県" numFmtId="0" sqlType="-9">
      <sharedItems count="1">
        <s v="12 千葉県"/>
      </sharedItems>
    </cacheField>
    <cacheField name="自治体名" numFmtId="0" sqlType="-9">
      <sharedItems/>
    </cacheField>
    <cacheField name="自治体" numFmtId="0" sqlType="-9">
      <sharedItems count="61">
        <s v="12000 千葉県"/>
        <s v="12100 千葉市"/>
        <s v="12101 千葉市中央区"/>
        <s v="12102 千葉市花見川区"/>
        <s v="12103 千葉市稲毛区"/>
        <s v="12104 千葉市若葉区"/>
        <s v="12105 千葉市緑区"/>
        <s v="12106 千葉市美浜区"/>
        <s v="12202 銚子市"/>
        <s v="12203 市川市"/>
        <s v="12204 船橋市"/>
        <s v="12205 館山市"/>
        <s v="12206 木更津市"/>
        <s v="12207 松戸市"/>
        <s v="12208 野田市"/>
        <s v="12210 茂原市"/>
        <s v="12211 成田市"/>
        <s v="12212 佐倉市"/>
        <s v="12213 東金市"/>
        <s v="12215 旭市"/>
        <s v="12216 習志野市"/>
        <s v="12217 柏市"/>
        <s v="12218 勝浦市"/>
        <s v="12219 市原市"/>
        <s v="12220 流山市"/>
        <s v="12221 八千代市"/>
        <s v="12222 我孫子市"/>
        <s v="12223 鴨川市"/>
        <s v="12224 鎌ケ谷市"/>
        <s v="12225 君津市"/>
        <s v="12226 富津市"/>
        <s v="12227 浦安市"/>
        <s v="12228 四街道市"/>
        <s v="12229 袖ケ浦市"/>
        <s v="12230 八街市"/>
        <s v="12231 印西市"/>
        <s v="12232 白井市"/>
        <s v="12233 富里市"/>
        <s v="12234 南房総市"/>
        <s v="12235 匝瑳市"/>
        <s v="12236 香取市"/>
        <s v="12237 山武市"/>
        <s v="12238 いすみ市"/>
        <s v="12239 大網白里市"/>
        <s v="12322 印旛郡酒々井町"/>
        <s v="12329 印旛郡栄町"/>
        <s v="12342 香取郡神崎町"/>
        <s v="12347 香取郡多古町"/>
        <s v="12349 香取郡東庄町"/>
        <s v="12403 山武郡九十九里町"/>
        <s v="12409 山武郡芝山町"/>
        <s v="12410 山武郡横芝光町"/>
        <s v="12421 長生郡一宮町"/>
        <s v="12422 長生郡睦沢町"/>
        <s v="12423 長生郡長生村"/>
        <s v="12424 長生郡白子町"/>
        <s v="12426 長生郡長柄町"/>
        <s v="12427 長生郡長南町"/>
        <s v="12441 夷隅郡大多喜町"/>
        <s v="12443 夷隅郡御宿町"/>
        <s v="12463 安房郡鋸南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21133"/>
    </cacheField>
    <cacheField name="構成比" numFmtId="0" sqlType="3">
      <sharedItems containsSemiMixedTypes="0" containsString="0" containsNumber="1" minValue="0" maxValue="32.75"/>
    </cacheField>
    <cacheField name="総数（個人）" numFmtId="0" sqlType="4">
      <sharedItems containsSemiMixedTypes="0" containsString="0" containsNumber="1" containsInteger="1" minValue="0" maxValue="9814"/>
    </cacheField>
    <cacheField name="構成比（個人）" numFmtId="0" sqlType="3">
      <sharedItems containsSemiMixedTypes="0" containsString="0" containsNumber="1" minValue="0" maxValue="34.99"/>
    </cacheField>
    <cacheField name="総数（法人）" numFmtId="0" sqlType="4">
      <sharedItems containsSemiMixedTypes="0" containsString="0" containsNumber="1" containsInteger="1" minValue="0" maxValue="13516"/>
    </cacheField>
    <cacheField name="構成比（法人）" numFmtId="0" sqlType="3">
      <sharedItems containsSemiMixedTypes="0" containsString="0" containsNumber="1" minValue="0" maxValue="45.13"/>
    </cacheField>
    <cacheField name="総数（法人以外の団体）" numFmtId="0" sqlType="4">
      <sharedItems containsSemiMixedTypes="0" containsString="0" containsNumber="1" containsInteger="1" minValue="0" maxValue="17" count="11">
        <n v="0"/>
        <n v="1"/>
        <n v="3"/>
        <n v="8"/>
        <n v="17"/>
        <n v="12"/>
        <n v="5"/>
        <n v="2"/>
        <n v="9"/>
        <n v="6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8789699076" createdVersion="5" refreshedVersion="8" minRefreshableVersion="3" recordCount="1314" xr:uid="{0BF72C52-EAAB-4838-ADE0-1E54CE022459}">
  <cacheSource type="external" connectionId="2"/>
  <cacheFields count="14">
    <cacheField name="都道府県" numFmtId="0" sqlType="-9">
      <sharedItems count="1">
        <s v="12 千葉県"/>
      </sharedItems>
    </cacheField>
    <cacheField name="自治体名" numFmtId="0" sqlType="-9">
      <sharedItems count="61">
        <s v="千葉県"/>
        <s v="千葉市"/>
        <s v="千葉市中央区"/>
        <s v="千葉市花見川区"/>
        <s v="千葉市稲毛区"/>
        <s v="千葉市若葉区"/>
        <s v="千葉市緑区"/>
        <s v="千葉市美浜区"/>
        <s v="銚子市"/>
        <s v="市川市"/>
        <s v="船橋市"/>
        <s v="館山市"/>
        <s v="木更津市"/>
        <s v="松戸市"/>
        <s v="野田市"/>
        <s v="茂原市"/>
        <s v="成田市"/>
        <s v="佐倉市"/>
        <s v="東金市"/>
        <s v="旭市"/>
        <s v="習志野市"/>
        <s v="柏市"/>
        <s v="勝浦市"/>
        <s v="市原市"/>
        <s v="流山市"/>
        <s v="八千代市"/>
        <s v="我孫子市"/>
        <s v="鴨川市"/>
        <s v="鎌ケ谷市"/>
        <s v="君津市"/>
        <s v="富津市"/>
        <s v="浦安市"/>
        <s v="四街道市"/>
        <s v="袖ケ浦市"/>
        <s v="八街市"/>
        <s v="印西市"/>
        <s v="白井市"/>
        <s v="富里市"/>
        <s v="南房総市"/>
        <s v="匝瑳市"/>
        <s v="香取市"/>
        <s v="山武市"/>
        <s v="いすみ市"/>
        <s v="大網白里市"/>
        <s v="印旛郡酒々井町"/>
        <s v="印旛郡栄町"/>
        <s v="香取郡神崎町"/>
        <s v="香取郡多古町"/>
        <s v="香取郡東庄町"/>
        <s v="山武郡九十九里町"/>
        <s v="山武郡芝山町"/>
        <s v="山武郡横芝光町"/>
        <s v="長生郡一宮町"/>
        <s v="長生郡睦沢町"/>
        <s v="長生郡長生村"/>
        <s v="長生郡白子町"/>
        <s v="長生郡長柄町"/>
        <s v="長生郡長南町"/>
        <s v="夷隅郡大多喜町"/>
        <s v="夷隅郡御宿町"/>
        <s v="安房郡鋸南町"/>
      </sharedItems>
    </cacheField>
    <cacheField name="自治体" numFmtId="0" sqlType="-9">
      <sharedItems count="61">
        <s v="12000 千葉県"/>
        <s v="12100 千葉市"/>
        <s v="12101 千葉市中央区"/>
        <s v="12102 千葉市花見川区"/>
        <s v="12103 千葉市稲毛区"/>
        <s v="12104 千葉市若葉区"/>
        <s v="12105 千葉市緑区"/>
        <s v="12106 千葉市美浜区"/>
        <s v="12202 銚子市"/>
        <s v="12203 市川市"/>
        <s v="12204 船橋市"/>
        <s v="12205 館山市"/>
        <s v="12206 木更津市"/>
        <s v="12207 松戸市"/>
        <s v="12208 野田市"/>
        <s v="12210 茂原市"/>
        <s v="12211 成田市"/>
        <s v="12212 佐倉市"/>
        <s v="12213 東金市"/>
        <s v="12215 旭市"/>
        <s v="12216 習志野市"/>
        <s v="12217 柏市"/>
        <s v="12218 勝浦市"/>
        <s v="12219 市原市"/>
        <s v="12220 流山市"/>
        <s v="12221 八千代市"/>
        <s v="12222 我孫子市"/>
        <s v="12223 鴨川市"/>
        <s v="12224 鎌ケ谷市"/>
        <s v="12225 君津市"/>
        <s v="12226 富津市"/>
        <s v="12227 浦安市"/>
        <s v="12228 四街道市"/>
        <s v="12229 袖ケ浦市"/>
        <s v="12230 八街市"/>
        <s v="12231 印西市"/>
        <s v="12232 白井市"/>
        <s v="12233 富里市"/>
        <s v="12234 南房総市"/>
        <s v="12235 匝瑳市"/>
        <s v="12236 香取市"/>
        <s v="12237 山武市"/>
        <s v="12238 いすみ市"/>
        <s v="12239 大網白里市"/>
        <s v="12322 印旛郡酒々井町"/>
        <s v="12329 印旛郡栄町"/>
        <s v="12342 香取郡神崎町"/>
        <s v="12347 香取郡多古町"/>
        <s v="12349 香取郡東庄町"/>
        <s v="12403 山武郡九十九里町"/>
        <s v="12409 山武郡芝山町"/>
        <s v="12410 山武郡横芝光町"/>
        <s v="12421 長生郡一宮町"/>
        <s v="12422 長生郡睦沢町"/>
        <s v="12423 長生郡長生村"/>
        <s v="12424 長生郡白子町"/>
        <s v="12426 長生郡長柄町"/>
        <s v="12427 長生郡長南町"/>
        <s v="12441 夷隅郡大多喜町"/>
        <s v="12443 夷隅郡御宿町"/>
        <s v="12463 安房郡鋸南町"/>
      </sharedItems>
    </cacheField>
    <cacheField name="産業分類コード" numFmtId="0" sqlType="-8">
      <sharedItems count="62">
        <s v="78"/>
        <s v="76"/>
        <s v="69"/>
        <s v="06"/>
        <s v="60"/>
        <s v="07"/>
        <s v="08"/>
        <s v="58"/>
        <s v="83"/>
        <s v="82"/>
        <s v="72"/>
        <s v="59"/>
        <s v="74"/>
        <s v="57"/>
        <s v="68"/>
        <s v="89"/>
        <s v="79"/>
        <s v="53"/>
        <s v="85"/>
        <s v="54"/>
        <s v="55"/>
        <s v="92"/>
        <s v="24"/>
        <s v="77"/>
        <s v="52"/>
        <s v="39"/>
        <s v="09"/>
        <s v="75"/>
        <s v="80"/>
        <s v="67"/>
        <s v="48"/>
        <s v="44"/>
        <s v="13"/>
        <s v="26"/>
        <s v="70"/>
        <s v="32"/>
        <s v="61"/>
        <s v="47"/>
        <s v="18"/>
        <s v="28"/>
        <s v="10"/>
        <s v="15"/>
        <s v="19"/>
        <s v="21"/>
        <s v="23"/>
        <s v="25"/>
        <s v="88"/>
        <s v="33"/>
        <s v="20"/>
        <s v="31"/>
        <s v="11"/>
        <s v="14"/>
        <s v="22"/>
        <s v="29"/>
        <s v="36"/>
        <s v="73"/>
        <s v="16"/>
        <s v="12"/>
        <s v="27"/>
        <s v="43"/>
        <s v="05"/>
        <s v="90"/>
      </sharedItems>
    </cacheField>
    <cacheField name="産業分類" numFmtId="0" sqlType="-9">
      <sharedItems count="62">
        <s v="洗濯・理容・美容・浴場業"/>
        <s v="飲食店"/>
        <s v="不動産賃貸業・管理業"/>
        <s v="総合工事業"/>
        <s v="その他の小売業"/>
        <s v="職別工事業（設備工事業を除く）"/>
        <s v="設備工事業"/>
        <s v="飲食料品小売業"/>
        <s v="医療業"/>
        <s v="その他の教育，学習支援業"/>
        <s v="専門サービス業（他に分類されないもの）"/>
        <s v="機械器具小売業"/>
        <s v="技術サービス業（他に分類されないもの）"/>
        <s v="織物・衣服・身の回り品小売業"/>
        <s v="不動産取引業"/>
        <s v="自動車整備業"/>
        <s v="その他の生活関連サービス業"/>
        <s v="建築材料，鉱物・金属材料等卸売業"/>
        <s v="社会保険・社会福祉・介護事業"/>
        <s v="機械器具卸売業"/>
        <s v="その他の卸売業"/>
        <s v="その他の事業サービス業"/>
        <s v="金属製品製造業"/>
        <s v="持ち帰り・配達飲食サービス業"/>
        <s v="飲食料品卸売業"/>
        <s v="情報サービス業"/>
        <s v="食料品製造業"/>
        <s v="宿泊業"/>
        <s v="娯楽業"/>
        <s v="保険業（保険媒介代理業，保険サービス業を含む）"/>
        <s v="運輸に附帯するサービス業"/>
        <s v="道路貨物運送業"/>
        <s v="家具・装備品製造業"/>
        <s v="生産用機械器具製造業"/>
        <s v="物品賃貸業"/>
        <s v="その他の製造業"/>
        <s v="無店舗小売業"/>
        <s v="倉庫業"/>
        <s v="プラスチック製品製造業（別掲を除く）"/>
        <s v="電子部品・デバイス・電子回路製造業"/>
        <s v="飲料・たばこ・飼料製造業"/>
        <s v="印刷・同関連業"/>
        <s v="ゴム製品製造業"/>
        <s v="窯業・土石製品製造業"/>
        <s v="非鉄金属製造業"/>
        <s v="はん用機械器具製造業"/>
        <s v="廃棄物処理業"/>
        <s v="電気業"/>
        <s v="なめし革・同製品・毛皮製造業"/>
        <s v="輸送用機械器具製造業"/>
        <s v="繊維工業"/>
        <s v="パルプ・紙・紙加工品製造業"/>
        <s v="鉄鋼業"/>
        <s v="電気機械器具製造業"/>
        <s v="水道業"/>
        <s v="広告業"/>
        <s v="化学工業"/>
        <s v="木材・木製品製造業（家具を除く）"/>
        <s v="業務用機械器具製造業"/>
        <s v="道路旅客運送業"/>
        <s v="鉱業，採石業，砂利採取業"/>
        <s v="機械等修理業（別掲を除く）"/>
      </sharedItems>
    </cacheField>
    <cacheField name="産業中分類" numFmtId="0" sqlType="-9">
      <sharedItems count="62">
        <s v="78 洗濯・理容・美容・浴場業"/>
        <s v="76 飲食店"/>
        <s v="69 不動産賃貸業・管理業"/>
        <s v="06 総合工事業"/>
        <s v="60 その他の小売業"/>
        <s v="07 職別工事業（設備工事業を除く）"/>
        <s v="08 設備工事業"/>
        <s v="58 飲食料品小売業"/>
        <s v="83 医療業"/>
        <s v="82 その他の教育，学習支援業"/>
        <s v="72 専門サービス業（他に分類されないもの）"/>
        <s v="59 機械器具小売業"/>
        <s v="74 技術サービス業（他に分類されないもの）"/>
        <s v="57 織物・衣服・身の回り品小売業"/>
        <s v="68 不動産取引業"/>
        <s v="89 自動車整備業"/>
        <s v="79 その他の生活関連サービス業"/>
        <s v="53 建築材料，鉱物・金属材料等卸売業"/>
        <s v="85 社会保険・社会福祉・介護事業"/>
        <s v="54 機械器具卸売業"/>
        <s v="55 その他の卸売業"/>
        <s v="92 その他の事業サービス業"/>
        <s v="24 金属製品製造業"/>
        <s v="77 持ち帰り・配達飲食サービス業"/>
        <s v="52 飲食料品卸売業"/>
        <s v="39 情報サービス業"/>
        <s v="09 食料品製造業"/>
        <s v="75 宿泊業"/>
        <s v="80 娯楽業"/>
        <s v="67 保険業（保険媒介代理業，保険サービス業を含む）"/>
        <s v="48 運輸に附帯するサービス業"/>
        <s v="44 道路貨物運送業"/>
        <s v="13 家具・装備品製造業"/>
        <s v="26 生産用機械器具製造業"/>
        <s v="70 物品賃貸業"/>
        <s v="32 その他の製造業"/>
        <s v="61 無店舗小売業"/>
        <s v="47 倉庫業"/>
        <s v="18 プラスチック製品製造業（別掲を除く）"/>
        <s v="28 電子部品・デバイス・電子回路製造業"/>
        <s v="10 飲料・たばこ・飼料製造業"/>
        <s v="15 印刷・同関連業"/>
        <s v="19 ゴム製品製造業"/>
        <s v="21 窯業・土石製品製造業"/>
        <s v="23 非鉄金属製造業"/>
        <s v="25 はん用機械器具製造業"/>
        <s v="88 廃棄物処理業"/>
        <s v="33 電気業"/>
        <s v="20 なめし革・同製品・毛皮製造業"/>
        <s v="31 輸送用機械器具製造業"/>
        <s v="11 繊維工業"/>
        <s v="14 パルプ・紙・紙加工品製造業"/>
        <s v="22 鉄鋼業"/>
        <s v="29 電気機械器具製造業"/>
        <s v="36 水道業"/>
        <s v="73 広告業"/>
        <s v="16 化学工業"/>
        <s v="12 木材・木製品製造業（家具を除く）"/>
        <s v="27 業務用機械器具製造業"/>
        <s v="43 道路旅客運送業"/>
        <s v="05 鉱業，採石業，砂利採取業"/>
        <s v="90 機械等修理業（別掲を除く）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11019" count="289">
        <n v="11019"/>
        <n v="9839"/>
        <n v="7868"/>
        <n v="6270"/>
        <n v="5844"/>
        <n v="5553"/>
        <n v="4242"/>
        <n v="4068"/>
        <n v="3982"/>
        <n v="3718"/>
        <n v="3099"/>
        <n v="2687"/>
        <n v="2271"/>
        <n v="2240"/>
        <n v="1849"/>
        <n v="1558"/>
        <n v="1483"/>
        <n v="1447"/>
        <n v="1442"/>
        <n v="1340"/>
        <n v="1439"/>
        <n v="1300"/>
        <n v="999"/>
        <n v="773"/>
        <n v="721"/>
        <n v="678"/>
        <n v="636"/>
        <n v="565"/>
        <n v="558"/>
        <n v="454"/>
        <n v="414"/>
        <n v="401"/>
        <n v="302"/>
        <n v="293"/>
        <n v="268"/>
        <n v="257"/>
        <n v="211"/>
        <n v="207"/>
        <n v="206"/>
        <n v="527"/>
        <n v="467"/>
        <n v="443"/>
        <n v="299"/>
        <n v="272"/>
        <n v="231"/>
        <n v="181"/>
        <n v="179"/>
        <n v="170"/>
        <n v="147"/>
        <n v="130"/>
        <n v="117"/>
        <n v="109"/>
        <n v="97"/>
        <n v="77"/>
        <n v="73"/>
        <n v="70"/>
        <n v="68"/>
        <n v="235"/>
        <n v="133"/>
        <n v="114"/>
        <n v="95"/>
        <n v="90"/>
        <n v="75"/>
        <n v="66"/>
        <n v="62"/>
        <n v="57"/>
        <n v="43"/>
        <n v="38"/>
        <n v="32"/>
        <n v="31"/>
        <n v="266"/>
        <n v="215"/>
        <n v="148"/>
        <n v="108"/>
        <n v="107"/>
        <n v="105"/>
        <n v="100"/>
        <n v="63"/>
        <n v="61"/>
        <n v="59"/>
        <n v="51"/>
        <n v="45"/>
        <n v="40"/>
        <n v="37"/>
        <n v="30"/>
        <n v="240"/>
        <n v="178"/>
        <n v="160"/>
        <n v="129"/>
        <n v="78"/>
        <n v="74"/>
        <n v="53"/>
        <n v="48"/>
        <n v="47"/>
        <n v="42"/>
        <n v="36"/>
        <n v="86"/>
        <n v="76"/>
        <n v="67"/>
        <n v="56"/>
        <n v="46"/>
        <n v="34"/>
        <n v="27"/>
        <n v="26"/>
        <n v="25"/>
        <n v="24"/>
        <n v="21"/>
        <n v="16"/>
        <n v="15"/>
        <n v="14"/>
        <n v="79"/>
        <n v="55"/>
        <n v="44"/>
        <n v="41"/>
        <n v="35"/>
        <n v="33"/>
        <n v="29"/>
        <n v="28"/>
        <n v="23"/>
        <n v="17"/>
        <n v="233"/>
        <n v="189"/>
        <n v="162"/>
        <n v="112"/>
        <n v="106"/>
        <n v="83"/>
        <n v="65"/>
        <n v="64"/>
        <n v="52"/>
        <n v="49"/>
        <n v="1006"/>
        <n v="685"/>
        <n v="532"/>
        <n v="329"/>
        <n v="317"/>
        <n v="306"/>
        <n v="303"/>
        <n v="253"/>
        <n v="251"/>
        <n v="232"/>
        <n v="205"/>
        <n v="154"/>
        <n v="151"/>
        <n v="142"/>
        <n v="125"/>
        <n v="96"/>
        <n v="81"/>
        <n v="899"/>
        <n v="817"/>
        <n v="754"/>
        <n v="408"/>
        <n v="405"/>
        <n v="389"/>
        <n v="384"/>
        <n v="335"/>
        <n v="284"/>
        <n v="264"/>
        <n v="223"/>
        <n v="200"/>
        <n v="182"/>
        <n v="176"/>
        <n v="166"/>
        <n v="119"/>
        <n v="237"/>
        <n v="185"/>
        <n v="110"/>
        <n v="94"/>
        <n v="92"/>
        <n v="58"/>
        <n v="18"/>
        <n v="376"/>
        <n v="340"/>
        <n v="197"/>
        <n v="190"/>
        <n v="140"/>
        <n v="128"/>
        <n v="91"/>
        <n v="85"/>
        <n v="50"/>
        <n v="815"/>
        <n v="803"/>
        <n v="697"/>
        <n v="393"/>
        <n v="372"/>
        <n v="354"/>
        <n v="351"/>
        <n v="311"/>
        <n v="274"/>
        <n v="270"/>
        <n v="262"/>
        <n v="196"/>
        <n v="168"/>
        <n v="137"/>
        <n v="134"/>
        <n v="101"/>
        <n v="267"/>
        <n v="217"/>
        <n v="193"/>
        <n v="89"/>
        <n v="88"/>
        <n v="226"/>
        <n v="132"/>
        <n v="84"/>
        <n v="20"/>
        <n v="194"/>
        <n v="161"/>
        <n v="72"/>
        <n v="54"/>
        <n v="286"/>
        <n v="252"/>
        <n v="157"/>
        <n v="145"/>
        <n v="138"/>
        <n v="123"/>
        <n v="122"/>
        <n v="99"/>
        <n v="80"/>
        <n v="39"/>
        <n v="144"/>
        <n v="98"/>
        <n v="220"/>
        <n v="198"/>
        <n v="149"/>
        <n v="136"/>
        <n v="121"/>
        <n v="116"/>
        <n v="19"/>
        <n v="247"/>
        <n v="229"/>
        <n v="104"/>
        <n v="625"/>
        <n v="569"/>
        <n v="556"/>
        <n v="377"/>
        <n v="346"/>
        <n v="315"/>
        <n v="304"/>
        <n v="294"/>
        <n v="276"/>
        <n v="173"/>
        <n v="169"/>
        <n v="12"/>
        <n v="10"/>
        <n v="9"/>
        <n v="8"/>
        <n v="7"/>
        <n v="6"/>
        <n v="525"/>
        <n v="439"/>
        <n v="410"/>
        <n v="308"/>
        <n v="258"/>
        <n v="250"/>
        <n v="175"/>
        <n v="265"/>
        <n v="213"/>
        <n v="180"/>
        <n v="141"/>
        <n v="111"/>
        <n v="327"/>
        <n v="126"/>
        <n v="118"/>
        <n v="71"/>
        <n v="139"/>
        <n v="102"/>
        <n v="69"/>
        <n v="174"/>
        <n v="22"/>
        <n v="120"/>
        <n v="82"/>
        <n v="334"/>
        <n v="124"/>
        <n v="103"/>
        <n v="87"/>
        <n v="60"/>
        <n v="241"/>
        <n v="172"/>
        <n v="146"/>
        <n v="113"/>
        <n v="11"/>
        <n v="143"/>
        <n v="13"/>
        <n v="93"/>
        <n v="156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0.63" maxValue="18.690000000000001" count="587">
        <n v="10.96"/>
        <n v="9.7899999999999991"/>
        <n v="7.83"/>
        <n v="6.24"/>
        <n v="5.81"/>
        <n v="5.52"/>
        <n v="4.22"/>
        <n v="4.05"/>
        <n v="3.96"/>
        <n v="3.7"/>
        <n v="3.08"/>
        <n v="2.67"/>
        <n v="2.2599999999999998"/>
        <n v="2.23"/>
        <n v="1.84"/>
        <n v="1.55"/>
        <n v="1.47"/>
        <n v="1.44"/>
        <n v="1.43"/>
        <n v="1.33"/>
        <n v="10.87"/>
        <n v="9.82"/>
        <n v="7.55"/>
        <n v="5.84"/>
        <n v="5.45"/>
        <n v="5.12"/>
        <n v="4.8"/>
        <n v="4.2699999999999996"/>
        <n v="3.43"/>
        <n v="3.13"/>
        <n v="3.03"/>
        <n v="2.2799999999999998"/>
        <n v="2.21"/>
        <n v="2.02"/>
        <n v="1.94"/>
        <n v="1.59"/>
        <n v="1.56"/>
        <n v="11.36"/>
        <n v="10.07"/>
        <n v="9.5500000000000007"/>
        <n v="6.45"/>
        <n v="5.86"/>
        <n v="4.9800000000000004"/>
        <n v="3.9"/>
        <n v="3.86"/>
        <n v="3.66"/>
        <n v="3.17"/>
        <n v="2.8"/>
        <n v="2.52"/>
        <n v="2.35"/>
        <n v="2.09"/>
        <n v="1.66"/>
        <n v="1.57"/>
        <n v="1.51"/>
        <n v="11.29"/>
        <n v="11.1"/>
        <n v="7.06"/>
        <n v="6.39"/>
        <n v="5.48"/>
        <n v="4.5599999999999996"/>
        <n v="4.32"/>
        <n v="3.6"/>
        <n v="2.98"/>
        <n v="2.74"/>
        <n v="2.0699999999999998"/>
        <n v="1.83"/>
        <n v="1.54"/>
        <n v="1.49"/>
        <n v="13.03"/>
        <n v="10.53"/>
        <n v="7.25"/>
        <n v="5.34"/>
        <n v="5.29"/>
        <n v="5.24"/>
        <n v="5.14"/>
        <n v="4.9000000000000004"/>
        <n v="3.09"/>
        <n v="2.99"/>
        <n v="2.89"/>
        <n v="2.5"/>
        <n v="2.2000000000000002"/>
        <n v="1.96"/>
        <n v="1.81"/>
        <n v="11.07"/>
        <n v="8.34"/>
        <n v="8.2100000000000009"/>
        <n v="7.38"/>
        <n v="5.95"/>
        <n v="5.39"/>
        <n v="3.41"/>
        <n v="2.44"/>
        <n v="2.17"/>
        <n v="1.98"/>
        <n v="1.75"/>
        <n v="1.48"/>
        <n v="15.12"/>
        <n v="7.26"/>
        <n v="6.5"/>
        <n v="6.42"/>
        <n v="5.74"/>
        <n v="5.66"/>
        <n v="4.7300000000000004"/>
        <n v="4.3099999999999996"/>
        <n v="3.89"/>
        <n v="2.87"/>
        <n v="2.11"/>
        <n v="2.0299999999999998"/>
        <n v="1.77"/>
        <n v="1.35"/>
        <n v="1.27"/>
        <n v="1.18"/>
        <n v="9.5399999999999991"/>
        <n v="7.04"/>
        <n v="6.51"/>
        <n v="5.97"/>
        <n v="5.26"/>
        <n v="4.55"/>
        <n v="3.92"/>
        <n v="3.83"/>
        <n v="3.65"/>
        <n v="3.21"/>
        <n v="3.12"/>
        <n v="2.94"/>
        <n v="2.85"/>
        <n v="2.58"/>
        <n v="2.0499999999999998"/>
        <n v="1.87"/>
        <n v="1.52"/>
        <n v="11.43"/>
        <n v="11.33"/>
        <n v="9.27"/>
        <n v="7.95"/>
        <n v="5.49"/>
        <n v="5.2"/>
        <n v="4.07"/>
        <n v="3.73"/>
        <n v="3.19"/>
        <n v="3.14"/>
        <n v="2.7"/>
        <n v="2.5499999999999998"/>
        <n v="2.4"/>
        <n v="2.31"/>
        <n v="2.06"/>
        <n v="1.62"/>
        <n v="1.23"/>
        <n v="1.1299999999999999"/>
        <n v="15.19"/>
        <n v="10.34"/>
        <n v="8.0299999999999994"/>
        <n v="4.97"/>
        <n v="4.79"/>
        <n v="4.62"/>
        <n v="4.57"/>
        <n v="3.82"/>
        <n v="3.79"/>
        <n v="3.5"/>
        <n v="3.1"/>
        <n v="2.33"/>
        <n v="2.14"/>
        <n v="1.89"/>
        <n v="1.63"/>
        <n v="1.46"/>
        <n v="1.45"/>
        <n v="1.22"/>
        <n v="11.12"/>
        <n v="10.11"/>
        <n v="9.33"/>
        <n v="5.05"/>
        <n v="5.01"/>
        <n v="4.8099999999999996"/>
        <n v="4.75"/>
        <n v="4.1399999999999997"/>
        <n v="3.51"/>
        <n v="3.27"/>
        <n v="2.76"/>
        <n v="2.4700000000000002"/>
        <n v="2.25"/>
        <n v="2.1800000000000002"/>
        <n v="1.65"/>
        <n v="1.32"/>
        <n v="15.73"/>
        <n v="12.28"/>
        <n v="7.3"/>
        <n v="6.1"/>
        <n v="4.18"/>
        <n v="3.85"/>
        <n v="3.78"/>
        <n v="3.45"/>
        <n v="3.05"/>
        <n v="2.46"/>
        <n v="1.92"/>
        <n v="1.73"/>
        <n v="1.53"/>
        <n v="1.39"/>
        <n v="1.19"/>
        <n v="13.26"/>
        <n v="11.99"/>
        <n v="6.95"/>
        <n v="6.7"/>
        <n v="5.33"/>
        <n v="4.9400000000000004"/>
        <n v="4.51"/>
        <n v="4.2"/>
        <n v="3.35"/>
        <n v="3.25"/>
        <n v="3"/>
        <n v="2.86"/>
        <n v="2.0099999999999998"/>
        <n v="1.76"/>
        <n v="1.34"/>
        <n v="10.93"/>
        <n v="10.77"/>
        <n v="9.34"/>
        <n v="5.27"/>
        <n v="4.99"/>
        <n v="4.71"/>
        <n v="4.17"/>
        <n v="3.67"/>
        <n v="3.62"/>
        <n v="2.63"/>
        <n v="2.15"/>
        <n v="1.8"/>
        <n v="9.7100000000000009"/>
        <n v="7.89"/>
        <n v="7.02"/>
        <n v="6.87"/>
        <n v="6.4"/>
        <n v="5.6"/>
        <n v="4.33"/>
        <n v="3.24"/>
        <n v="3.2"/>
        <n v="1.93"/>
        <n v="1.85"/>
        <n v="1.78"/>
        <n v="14.73"/>
        <n v="12.42"/>
        <n v="5.82"/>
        <n v="4.45"/>
        <n v="4.34"/>
        <n v="3.46"/>
        <n v="2.36"/>
        <n v="1.1499999999999999"/>
        <n v="1.1000000000000001"/>
        <n v="10.14"/>
        <n v="9.91"/>
        <n v="7.66"/>
        <n v="7.5"/>
        <n v="6.35"/>
        <n v="4.42"/>
        <n v="3.59"/>
        <n v="3.31"/>
        <n v="2.84"/>
        <n v="2.13"/>
        <n v="1.7"/>
        <n v="1.5"/>
        <n v="1.38"/>
        <n v="11.61"/>
        <n v="10.23"/>
        <n v="6.37"/>
        <n v="5.89"/>
        <n v="4.95"/>
        <n v="4.26"/>
        <n v="4.0199999999999996"/>
        <n v="3.69"/>
        <n v="2.92"/>
        <n v="1.99"/>
        <n v="1.58"/>
        <n v="11.03"/>
        <n v="6.81"/>
        <n v="5.9"/>
        <n v="5.67"/>
        <n v="4.21"/>
        <n v="3.75"/>
        <n v="3.37"/>
        <n v="2.2999999999999998"/>
        <n v="2.2200000000000002"/>
        <n v="1.91"/>
        <n v="1.61"/>
        <n v="1.3"/>
        <n v="12.36"/>
        <n v="8.3699999999999992"/>
        <n v="7.64"/>
        <n v="6.8"/>
        <n v="6.52"/>
        <n v="3.54"/>
        <n v="3.15"/>
        <n v="1.1200000000000001"/>
        <n v="1.07"/>
        <n v="12.06"/>
        <n v="11.18"/>
        <n v="11.04"/>
        <n v="5.96"/>
        <n v="5.32"/>
        <n v="5.08"/>
        <n v="4.3899999999999997"/>
        <n v="3.76"/>
        <n v="3.52"/>
        <n v="3.42"/>
        <n v="1.37"/>
        <n v="9.93"/>
        <n v="9.0399999999999991"/>
        <n v="8.84"/>
        <n v="5.99"/>
        <n v="5.5"/>
        <n v="4.83"/>
        <n v="4.67"/>
        <n v="2.75"/>
        <n v="2.69"/>
        <n v="2.37"/>
        <n v="1.72"/>
        <n v="13.28"/>
        <n v="10.1"/>
        <n v="9.67"/>
        <n v="8.9499999999999993"/>
        <n v="8.08"/>
        <n v="5.77"/>
        <n v="4.04"/>
        <n v="1.01"/>
        <n v="0.87"/>
        <n v="11.97"/>
        <n v="10.01"/>
        <n v="9.35"/>
        <n v="6.98"/>
        <n v="5.88"/>
        <n v="5.7"/>
        <n v="3.99"/>
        <n v="3.01"/>
        <n v="1.82"/>
        <n v="1.71"/>
        <n v="1.25"/>
        <n v="11.19"/>
        <n v="8.99"/>
        <n v="7.6"/>
        <n v="4.6900000000000004"/>
        <n v="4.5199999999999996"/>
        <n v="2.79"/>
        <n v="2.4500000000000002"/>
        <n v="12.9"/>
        <n v="12.15"/>
        <n v="6.07"/>
        <n v="5.68"/>
        <n v="5.44"/>
        <n v="4.6500000000000004"/>
        <n v="2.56"/>
        <n v="2.4900000000000002"/>
        <n v="1.26"/>
        <n v="11.32"/>
        <n v="8.4"/>
        <n v="8.2799999999999994"/>
        <n v="6.38"/>
        <n v="6.08"/>
        <n v="5.78"/>
        <n v="4.1100000000000003"/>
        <n v="2.38"/>
        <n v="1.67"/>
        <n v="15.32"/>
        <n v="9.51"/>
        <n v="8.01"/>
        <n v="7.48"/>
        <n v="6.78"/>
        <n v="6.43"/>
        <n v="5.19"/>
        <n v="2.64"/>
        <n v="1.41"/>
        <n v="11.08"/>
        <n v="8.7100000000000009"/>
        <n v="7.65"/>
        <n v="7.47"/>
        <n v="5.0999999999999996"/>
        <n v="4.92"/>
        <n v="4.29"/>
        <n v="3.61"/>
        <n v="3.36"/>
        <n v="2.4300000000000002"/>
        <n v="1.74"/>
        <n v="1.68"/>
        <n v="18.690000000000001"/>
        <n v="12.31"/>
        <n v="7.05"/>
        <n v="6.94"/>
        <n v="5.76"/>
        <n v="4.87"/>
        <n v="4.7"/>
        <n v="3.58"/>
        <n v="2.2400000000000002"/>
        <n v="1.79"/>
        <n v="1.06"/>
        <n v="12.38"/>
        <n v="9.5"/>
        <n v="8.25"/>
        <n v="7.2"/>
        <n v="7.01"/>
        <n v="5.18"/>
        <n v="11.65"/>
        <n v="8.51"/>
        <n v="8.31"/>
        <n v="4.16"/>
        <n v="3.91"/>
        <n v="3.87"/>
        <n v="3.38"/>
        <n v="2.71"/>
        <n v="2.3199999999999998"/>
        <n v="2.08"/>
        <n v="10.81"/>
        <n v="6.29"/>
        <n v="5.03"/>
        <n v="4.96"/>
        <n v="4.1500000000000004"/>
        <n v="4"/>
        <n v="3.77"/>
        <n v="2.66"/>
        <n v="2"/>
        <n v="10.58"/>
        <n v="9.36"/>
        <n v="8.33"/>
        <n v="7.58"/>
        <n v="7.49"/>
        <n v="6.65"/>
        <n v="5.43"/>
        <n v="3.93"/>
        <n v="2.81"/>
        <n v="2.72"/>
        <n v="2.5299999999999998"/>
        <n v="1.4"/>
        <n v="1.03"/>
        <n v="9.92"/>
        <n v="8.6"/>
        <n v="8.18"/>
        <n v="8.0399999999999991"/>
        <n v="4.4400000000000004"/>
        <n v="4.3"/>
        <n v="3.88"/>
        <n v="2.77"/>
        <n v="1.6"/>
        <n v="8.16"/>
        <n v="6.69"/>
        <n v="3.18"/>
        <n v="2.78"/>
        <n v="2.04"/>
        <n v="9.24"/>
        <n v="6.16"/>
        <n v="6.05"/>
        <n v="5.72"/>
        <n v="2.97"/>
        <n v="11.41"/>
        <n v="10.130000000000001"/>
        <n v="8.27"/>
        <n v="8.15"/>
        <n v="6.17"/>
        <n v="4.54"/>
        <n v="4.1900000000000004"/>
        <n v="2.1"/>
        <n v="10.39"/>
        <n v="10.050000000000001"/>
        <n v="9.7200000000000006"/>
        <n v="7.12"/>
        <n v="6.11"/>
        <n v="1.42"/>
        <n v="13.04"/>
        <n v="9.9700000000000006"/>
        <n v="9.86"/>
        <n v="8.59"/>
        <n v="7.42"/>
        <n v="6.89"/>
        <n v="4.7699999999999996"/>
        <n v="2.12"/>
        <n v="1.17"/>
        <n v="0.95"/>
        <n v="9.64"/>
        <n v="9.14"/>
        <n v="7.92"/>
        <n v="7.46"/>
        <n v="6.6"/>
        <n v="3.81"/>
        <n v="0.91"/>
        <n v="10.65"/>
        <n v="9.2799999999999994"/>
        <n v="7.28"/>
        <n v="5.91"/>
        <n v="3.06"/>
        <n v="2.95"/>
        <n v="1.69"/>
        <n v="11.83"/>
        <n v="10.55"/>
        <n v="9.06"/>
        <n v="8.32"/>
        <n v="5.22"/>
        <n v="1.28"/>
        <n v="11.23"/>
        <n v="9.01"/>
        <n v="5.38"/>
        <n v="4.68"/>
        <n v="3.63"/>
        <n v="2.57"/>
        <n v="2.34"/>
        <n v="1.64"/>
        <n v="10.67"/>
        <n v="8.93"/>
        <n v="5.21"/>
        <n v="3.72"/>
        <n v="3.47"/>
        <n v="2.48"/>
        <n v="1.24"/>
        <n v="7.17"/>
        <n v="6.09"/>
        <n v="5.73"/>
        <n v="4.66"/>
        <n v="3.94"/>
        <n v="3.23"/>
        <n v="2.5099999999999998"/>
        <n v="12"/>
        <n v="10.4"/>
        <n v="8"/>
        <n v="0.8"/>
        <n v="11.27"/>
        <n v="10.56"/>
        <n v="8.4499999999999993"/>
        <n v="7.75"/>
        <n v="5.63"/>
        <n v="2.82"/>
        <n v="0.94"/>
        <n v="14.15"/>
        <n v="9.43"/>
        <n v="9.1199999999999992"/>
        <n v="8.81"/>
        <n v="8.49"/>
        <n v="6.92"/>
        <n v="4.09"/>
        <n v="2.83"/>
        <n v="0.63"/>
        <n v="12.27"/>
        <n v="11.34"/>
        <n v="9.49"/>
        <n v="6.25"/>
        <n v="1.1599999999999999"/>
        <n v="10.19"/>
        <n v="4.8499999999999996"/>
        <n v="4.37"/>
        <n v="2.91"/>
        <n v="11.53"/>
        <n v="10.78"/>
        <n v="9.26"/>
        <n v="8.6999999999999993"/>
        <n v="6.99"/>
        <n v="4.3499999999999996"/>
        <n v="3.97"/>
        <n v="12.79"/>
        <n v="10.76"/>
        <n v="4.3600000000000003"/>
        <n v="3.49"/>
        <n v="2.62"/>
        <n v="12.88"/>
        <n v="12.12"/>
        <n v="9.85"/>
        <n v="5.3"/>
        <n v="2.27"/>
        <n v="0.76"/>
        <n v="10.68"/>
        <n v="7.69"/>
        <n v="5.98"/>
        <n v="0.85"/>
        <n v="13.96"/>
        <n v="6.76"/>
        <n v="4.5"/>
        <n v="10.74"/>
        <n v="8.0500000000000007"/>
        <n v="6.71"/>
        <n v="6.04"/>
        <n v="4.03"/>
        <n v="2.68"/>
        <n v="13.3"/>
        <n v="11.17"/>
        <n v="14.1"/>
        <n v="11.86"/>
        <n v="9.94"/>
        <n v="6.41"/>
        <n v="11.89"/>
        <n v="11.01"/>
        <n v="9.69"/>
        <n v="6.61"/>
        <n v="0.88"/>
        <n v="17.23"/>
        <n v="12.18"/>
        <n v="10.08"/>
        <n v="7.14"/>
        <n v="5.46"/>
        <n v="0.84"/>
      </sharedItems>
    </cacheField>
    <cacheField name="総数（個人）" numFmtId="0" sqlType="4">
      <sharedItems containsSemiMixedTypes="0" containsString="0" containsNumber="1" containsInteger="1" minValue="0" maxValue="8895" count="194">
        <n v="8895"/>
        <n v="8053"/>
        <n v="2267"/>
        <n v="1197"/>
        <n v="2473"/>
        <n v="1634"/>
        <n v="594"/>
        <n v="2510"/>
        <n v="3303"/>
        <n v="2260"/>
        <n v="1559"/>
        <n v="1129"/>
        <n v="614"/>
        <n v="774"/>
        <n v="79"/>
        <n v="894"/>
        <n v="554"/>
        <n v="165"/>
        <n v="22"/>
        <n v="74"/>
        <n v="1063"/>
        <n v="397"/>
        <n v="713"/>
        <n v="28"/>
        <n v="241"/>
        <n v="77"/>
        <n v="32"/>
        <n v="305"/>
        <n v="464"/>
        <n v="244"/>
        <n v="202"/>
        <n v="64"/>
        <n v="84"/>
        <n v="68"/>
        <n v="6"/>
        <n v="3"/>
        <n v="8"/>
        <n v="13"/>
        <n v="9"/>
        <n v="204"/>
        <n v="343"/>
        <n v="311"/>
        <n v="203"/>
        <n v="86"/>
        <n v="4"/>
        <n v="25"/>
        <n v="5"/>
        <n v="16"/>
        <n v="143"/>
        <n v="60"/>
        <n v="73"/>
        <n v="23"/>
        <n v="0"/>
        <n v="1"/>
        <n v="2"/>
        <n v="21"/>
        <n v="85"/>
        <n v="180"/>
        <n v="7"/>
        <n v="17"/>
        <n v="102"/>
        <n v="10"/>
        <n v="49"/>
        <n v="78"/>
        <n v="46"/>
        <n v="42"/>
        <n v="15"/>
        <n v="24"/>
        <n v="14"/>
        <n v="96"/>
        <n v="154"/>
        <n v="111"/>
        <n v="92"/>
        <n v="41"/>
        <n v="37"/>
        <n v="19"/>
        <n v="195"/>
        <n v="124"/>
        <n v="43"/>
        <n v="18"/>
        <n v="20"/>
        <n v="12"/>
        <n v="134"/>
        <n v="48"/>
        <n v="52"/>
        <n v="51"/>
        <n v="11"/>
        <n v="57"/>
        <n v="31"/>
        <n v="213"/>
        <n v="211"/>
        <n v="116"/>
        <n v="114"/>
        <n v="72"/>
        <n v="65"/>
        <n v="35"/>
        <n v="38"/>
        <n v="40"/>
        <n v="314"/>
        <n v="502"/>
        <n v="424"/>
        <n v="44"/>
        <n v="142"/>
        <n v="30"/>
        <n v="246"/>
        <n v="101"/>
        <n v="150"/>
        <n v="138"/>
        <n v="62"/>
        <n v="56"/>
        <n v="655"/>
        <n v="652"/>
        <n v="119"/>
        <n v="316"/>
        <n v="81"/>
        <n v="156"/>
        <n v="190"/>
        <n v="155"/>
        <n v="148"/>
        <n v="50"/>
        <n v="67"/>
        <n v="47"/>
        <n v="36"/>
        <n v="205"/>
        <n v="170"/>
        <n v="39"/>
        <n v="279"/>
        <n v="27"/>
        <n v="66"/>
        <n v="26"/>
        <n v="648"/>
        <n v="670"/>
        <n v="201"/>
        <n v="33"/>
        <n v="282"/>
        <n v="191"/>
        <n v="149"/>
        <n v="126"/>
        <n v="59"/>
        <n v="235"/>
        <n v="188"/>
        <n v="61"/>
        <n v="70"/>
        <n v="53"/>
        <n v="229"/>
        <n v="193"/>
        <n v="55"/>
        <n v="29"/>
        <n v="231"/>
        <n v="200"/>
        <n v="80"/>
        <n v="87"/>
        <n v="34"/>
        <n v="88"/>
        <n v="179"/>
        <n v="174"/>
        <n v="82"/>
        <n v="470"/>
        <n v="118"/>
        <n v="438"/>
        <n v="45"/>
        <n v="107"/>
        <n v="182"/>
        <n v="232"/>
        <n v="415"/>
        <n v="352"/>
        <n v="54"/>
        <n v="100"/>
        <n v="117"/>
        <n v="207"/>
        <n v="253"/>
        <n v="245"/>
        <n v="103"/>
        <n v="160"/>
        <n v="75"/>
        <n v="95"/>
        <n v="303"/>
        <n v="197"/>
        <n v="120"/>
        <n v="90"/>
        <n v="115"/>
        <n v="76"/>
        <n v="99"/>
        <n v="122"/>
        <n v="83"/>
        <n v="71"/>
        <n v="106"/>
        <n v="63"/>
        <n v="69"/>
        <n v="189"/>
        <n v="113"/>
        <n v="164"/>
        <n v="91"/>
        <n v="58"/>
      </sharedItems>
    </cacheField>
    <cacheField name="構成比（個人）" numFmtId="0" sqlType="3">
      <sharedItems containsSemiMixedTypes="0" containsString="0" containsNumber="1" minValue="0" maxValue="31.68" count="638">
        <n v="20.91"/>
        <n v="18.93"/>
        <n v="5.33"/>
        <n v="2.81"/>
        <n v="5.81"/>
        <n v="3.84"/>
        <n v="1.4"/>
        <n v="5.9"/>
        <n v="7.76"/>
        <n v="5.31"/>
        <n v="3.66"/>
        <n v="2.65"/>
        <n v="1.44"/>
        <n v="1.82"/>
        <n v="0.19"/>
        <n v="2.1"/>
        <n v="1.3"/>
        <n v="0.39"/>
        <n v="0.05"/>
        <n v="0.17"/>
        <n v="24.44"/>
        <n v="9.1300000000000008"/>
        <n v="16.39"/>
        <n v="0.64"/>
        <n v="5.54"/>
        <n v="1.77"/>
        <n v="0.74"/>
        <n v="7.01"/>
        <n v="10.67"/>
        <n v="5.61"/>
        <n v="4.6399999999999997"/>
        <n v="1.47"/>
        <n v="1.93"/>
        <n v="1.56"/>
        <n v="0.14000000000000001"/>
        <n v="7.0000000000000007E-2"/>
        <n v="0.18"/>
        <n v="0.3"/>
        <n v="0.21"/>
        <n v="12.63"/>
        <n v="21.24"/>
        <n v="19.260000000000002"/>
        <n v="12.57"/>
        <n v="0.25"/>
        <n v="1.55"/>
        <n v="0.31"/>
        <n v="0.99"/>
        <n v="8.85"/>
        <n v="3.72"/>
        <n v="4.5199999999999996"/>
        <n v="1.42"/>
        <n v="0"/>
        <n v="0.06"/>
        <n v="0.12"/>
        <n v="11.44"/>
        <n v="24.23"/>
        <n v="0.94"/>
        <n v="2.29"/>
        <n v="13.73"/>
        <n v="1.35"/>
        <n v="6.59"/>
        <n v="10.5"/>
        <n v="6.19"/>
        <n v="5.65"/>
        <n v="2.02"/>
        <n v="3.23"/>
        <n v="0.27"/>
        <n v="0.13"/>
        <n v="1.88"/>
        <n v="0.4"/>
        <n v="13.6"/>
        <n v="21.81"/>
        <n v="15.72"/>
        <n v="13.03"/>
        <n v="4.53"/>
        <n v="0.56999999999999995"/>
        <n v="1.84"/>
        <n v="5.24"/>
        <n v="3.4"/>
        <n v="2.12"/>
        <n v="0.42"/>
        <n v="2.69"/>
        <n v="0.28000000000000003"/>
        <n v="28.63"/>
        <n v="3.52"/>
        <n v="1.03"/>
        <n v="18.21"/>
        <n v="0.88"/>
        <n v="6.31"/>
        <n v="9.99"/>
        <n v="2.64"/>
        <n v="4.7"/>
        <n v="3.67"/>
        <n v="2.94"/>
        <n v="0.59"/>
        <n v="0.15"/>
        <n v="0.28999999999999998"/>
        <n v="0.73"/>
        <n v="0.44"/>
        <n v="1.76"/>
        <n v="31.68"/>
        <n v="11.35"/>
        <n v="0.71"/>
        <n v="12.29"/>
        <n v="12.06"/>
        <n v="2.13"/>
        <n v="3.55"/>
        <n v="1.18"/>
        <n v="4.26"/>
        <n v="4.49"/>
        <n v="2.6"/>
        <n v="2.84"/>
        <n v="1.65"/>
        <n v="0.95"/>
        <n v="0.24"/>
        <n v="31.49"/>
        <n v="2.21"/>
        <n v="8.84"/>
        <n v="8.2899999999999991"/>
        <n v="7.73"/>
        <n v="4.42"/>
        <n v="17.13"/>
        <n v="1.1000000000000001"/>
        <n v="1.66"/>
        <n v="0.55000000000000004"/>
        <n v="2.76"/>
        <n v="16.73"/>
        <n v="16.579999999999998"/>
        <n v="9.11"/>
        <n v="8.9600000000000009"/>
        <n v="5.66"/>
        <n v="5.1100000000000003"/>
        <n v="2.75"/>
        <n v="2.99"/>
        <n v="4.71"/>
        <n v="3.22"/>
        <n v="1.02"/>
        <n v="3.14"/>
        <n v="1.34"/>
        <n v="1.89"/>
        <n v="1.41"/>
        <n v="0.47"/>
        <n v="12.64"/>
        <n v="20.21"/>
        <n v="17.07"/>
        <n v="5.72"/>
        <n v="1.21"/>
        <n v="9.9"/>
        <n v="4.07"/>
        <n v="6.04"/>
        <n v="5.56"/>
        <n v="0.72"/>
        <n v="2.5"/>
        <n v="2.25"/>
        <n v="0.16"/>
        <n v="1.49"/>
        <n v="0.32"/>
        <n v="0.2"/>
        <n v="22.05"/>
        <n v="21.95"/>
        <n v="4.01"/>
        <n v="10.64"/>
        <n v="2.73"/>
        <n v="1.08"/>
        <n v="5.25"/>
        <n v="6.4"/>
        <n v="5.22"/>
        <n v="4.9800000000000004"/>
        <n v="1.68"/>
        <n v="2.2599999999999998"/>
        <n v="1.58"/>
        <n v="0.1"/>
        <n v="0.37"/>
        <n v="22.73"/>
        <n v="18.850000000000001"/>
        <n v="6.21"/>
        <n v="5.21"/>
        <n v="7.21"/>
        <n v="4.32"/>
        <n v="3.1"/>
        <n v="3.33"/>
        <n v="3.99"/>
        <n v="4.66"/>
        <n v="2.5499999999999998"/>
        <n v="2.44"/>
        <n v="0.33"/>
        <n v="0.67"/>
        <n v="1.1100000000000001"/>
        <n v="1"/>
        <n v="26.43"/>
        <n v="23.48"/>
        <n v="3.45"/>
        <n v="2.27"/>
        <n v="1.52"/>
        <n v="6.65"/>
        <n v="4.8"/>
        <n v="4.38"/>
        <n v="0.08"/>
        <n v="1.0900000000000001"/>
        <n v="2.19"/>
        <n v="0.34"/>
        <n v="21.56"/>
        <n v="22.29"/>
        <n v="6.69"/>
        <n v="2.06"/>
        <n v="4.92"/>
        <n v="9.3800000000000008"/>
        <n v="6.35"/>
        <n v="4.96"/>
        <n v="4.1900000000000004"/>
        <n v="2.16"/>
        <n v="1.53"/>
        <n v="1.96"/>
        <n v="1.46"/>
        <n v="20.350000000000001"/>
        <n v="16.28"/>
        <n v="4.24"/>
        <n v="5.28"/>
        <n v="6.06"/>
        <n v="5.19"/>
        <n v="3.98"/>
        <n v="6.75"/>
        <n v="4.59"/>
        <n v="1.39"/>
        <n v="0.09"/>
        <n v="2.68"/>
        <n v="0.87"/>
        <n v="0.26"/>
        <n v="2.42"/>
        <n v="24.92"/>
        <n v="21"/>
        <n v="5.98"/>
        <n v="2.83"/>
        <n v="8.0500000000000007"/>
        <n v="3.16"/>
        <n v="5.77"/>
        <n v="3.05"/>
        <n v="3.81"/>
        <n v="0.22"/>
        <n v="2.61"/>
        <n v="2.72"/>
        <n v="1.85"/>
        <n v="21.16"/>
        <n v="22.38"/>
        <n v="4.12"/>
        <n v="3.56"/>
        <n v="5.35"/>
        <n v="1.78"/>
        <n v="4.68"/>
        <n v="8.69"/>
        <n v="1.22"/>
        <n v="2.67"/>
        <n v="1.45"/>
        <n v="0.11"/>
        <n v="2"/>
        <n v="22.6"/>
        <n v="19.57"/>
        <n v="2.4500000000000002"/>
        <n v="2.15"/>
        <n v="5.38"/>
        <n v="7.83"/>
        <n v="8.51"/>
        <n v="5.87"/>
        <n v="4.21"/>
        <n v="2.54"/>
        <n v="0.78"/>
        <n v="2.35"/>
        <n v="1.37"/>
        <n v="19.97"/>
        <n v="19.16"/>
        <n v="5.48"/>
        <n v="5.64"/>
        <n v="1.61"/>
        <n v="5.15"/>
        <n v="6.12"/>
        <n v="4.99"/>
        <n v="4.51"/>
        <n v="2.58"/>
        <n v="3.38"/>
        <n v="0.81"/>
        <n v="0.97"/>
        <n v="18.010000000000002"/>
        <n v="16.59"/>
        <n v="5.03"/>
        <n v="6.44"/>
        <n v="6.53"/>
        <n v="7.77"/>
        <n v="3.71"/>
        <n v="3.27"/>
        <n v="3"/>
        <n v="3.62"/>
        <n v="1.59"/>
        <n v="1.94"/>
        <n v="1.32"/>
        <n v="0.35"/>
        <n v="1.1499999999999999"/>
        <n v="10.31"/>
        <n v="21.21"/>
        <n v="20.62"/>
        <n v="6.16"/>
        <n v="9.7200000000000006"/>
        <n v="7.94"/>
        <n v="4.2699999999999996"/>
        <n v="1.07"/>
        <n v="0.36"/>
        <n v="1.9"/>
        <n v="20.43"/>
        <n v="5.13"/>
        <n v="19.04"/>
        <n v="2.78"/>
        <n v="4.6500000000000004"/>
        <n v="7.91"/>
        <n v="10.09"/>
        <n v="5.17"/>
        <n v="4.43"/>
        <n v="1.17"/>
        <n v="0.04"/>
        <n v="16.95"/>
        <n v="13.39"/>
        <n v="12.97"/>
        <n v="5.86"/>
        <n v="5.0199999999999996"/>
        <n v="2.09"/>
        <n v="2.5099999999999998"/>
        <n v="1.05"/>
        <n v="1.67"/>
        <n v="1.26"/>
        <n v="0.63"/>
        <n v="26.04"/>
        <n v="22.08"/>
        <n v="1.69"/>
        <n v="3.39"/>
        <n v="2.0099999999999998"/>
        <n v="5.46"/>
        <n v="2.0699999999999998"/>
        <n v="6.27"/>
        <n v="7.34"/>
        <n v="1.1299999999999999"/>
        <n v="2.57"/>
        <n v="0.38"/>
        <n v="22.82"/>
        <n v="7.39"/>
        <n v="16.54"/>
        <n v="1.54"/>
        <n v="7.06"/>
        <n v="9.48"/>
        <n v="3.31"/>
        <n v="5.62"/>
        <n v="5.29"/>
        <n v="0.77"/>
        <n v="2.87"/>
        <n v="1.87"/>
        <n v="0.66"/>
        <n v="24.07"/>
        <n v="23.31"/>
        <n v="2.2799999999999998"/>
        <n v="9.8000000000000007"/>
        <n v="1.71"/>
        <n v="5.04"/>
        <n v="9.61"/>
        <n v="1.24"/>
        <n v="4.95"/>
        <n v="0.48"/>
        <n v="2.85"/>
        <n v="2.4700000000000002"/>
        <n v="1.43"/>
        <n v="0.86"/>
        <n v="21.14"/>
        <n v="3.17"/>
        <n v="15.32"/>
        <n v="9.91"/>
        <n v="11.1"/>
        <n v="4.0999999999999996"/>
        <n v="1.06"/>
        <n v="3.04"/>
        <n v="3.3"/>
        <n v="1.19"/>
        <n v="0.53"/>
        <n v="2.11"/>
        <n v="22.32"/>
        <n v="13.59"/>
        <n v="8.8699999999999992"/>
        <n v="6.29"/>
        <n v="8.44"/>
        <n v="3.58"/>
        <n v="1.1399999999999999"/>
        <n v="1.72"/>
        <n v="1.29"/>
        <n v="1.57"/>
        <n v="22"/>
        <n v="18.309999999999999"/>
        <n v="3.08"/>
        <n v="10.15"/>
        <n v="1.23"/>
        <n v="5.08"/>
        <n v="6"/>
        <n v="0.92"/>
        <n v="0.46"/>
        <n v="31.08"/>
        <n v="4.41"/>
        <n v="3.79"/>
        <n v="3.69"/>
        <n v="2.97"/>
        <n v="2.36"/>
        <n v="2.0499999999999998"/>
        <n v="0.51"/>
        <n v="20.48"/>
        <n v="15.36"/>
        <n v="5.97"/>
        <n v="6.66"/>
        <n v="6.14"/>
        <n v="7.51"/>
        <n v="4.4400000000000004"/>
        <n v="3.07"/>
        <n v="2.2200000000000002"/>
        <n v="2.39"/>
        <n v="4.75"/>
        <n v="22.24"/>
        <n v="4.9400000000000004"/>
        <n v="12.55"/>
        <n v="7.03"/>
        <n v="0.76"/>
        <n v="24.31"/>
        <n v="16.07"/>
        <n v="1.27"/>
        <n v="5.5"/>
        <n v="9.94"/>
        <n v="5.92"/>
        <n v="2.96"/>
        <n v="2.33"/>
        <n v="23.97"/>
        <n v="20.58"/>
        <n v="3.63"/>
        <n v="6.78"/>
        <n v="4.84"/>
        <n v="6.05"/>
        <n v="3.15"/>
        <n v="2.91"/>
        <n v="19.3"/>
        <n v="7.59"/>
        <n v="4.91"/>
        <n v="15.66"/>
        <n v="6.01"/>
        <n v="3.48"/>
        <n v="1.74"/>
        <n v="2.5299999999999998"/>
        <n v="16.600000000000001"/>
        <n v="7.02"/>
        <n v="6.17"/>
        <n v="5.32"/>
        <n v="12.77"/>
        <n v="5.96"/>
        <n v="4.04"/>
        <n v="1.91"/>
        <n v="0.43"/>
        <n v="7.09"/>
        <n v="17.54"/>
        <n v="16.04"/>
        <n v="2.2400000000000002"/>
        <n v="6.34"/>
        <n v="4.4800000000000004"/>
        <n v="7.84"/>
        <n v="1.1200000000000001"/>
        <n v="0.75"/>
        <n v="22.13"/>
        <n v="6.93"/>
        <n v="5.6"/>
        <n v="1.33"/>
        <n v="3.73"/>
        <n v="4"/>
        <n v="3.47"/>
        <n v="2.4"/>
        <n v="15.27"/>
        <n v="13.49"/>
        <n v="8.02"/>
        <n v="9.41"/>
        <n v="6.23"/>
        <n v="8.52"/>
        <n v="6.49"/>
        <n v="20.78"/>
        <n v="12.26"/>
        <n v="12.61"/>
        <n v="3.37"/>
        <n v="3.91"/>
        <n v="1.6"/>
        <n v="2.4900000000000002"/>
        <n v="1.95"/>
        <n v="0.89"/>
        <n v="16.309999999999999"/>
        <n v="9.75"/>
        <n v="14.15"/>
        <n v="5.18"/>
        <n v="7.16"/>
        <n v="8.89"/>
        <n v="2.93"/>
        <n v="3.88"/>
        <n v="4.1399999999999997"/>
        <n v="4.3099999999999996"/>
        <n v="1.81"/>
        <n v="1.38"/>
        <n v="1.98"/>
        <n v="0.69"/>
        <n v="19.61"/>
        <n v="6.25"/>
        <n v="17.239999999999998"/>
        <n v="3.02"/>
        <n v="5.39"/>
        <n v="2.8"/>
        <n v="1.51"/>
        <n v="18.510000000000002"/>
        <n v="10.53"/>
        <n v="14.16"/>
        <n v="7.08"/>
        <n v="7.8"/>
        <n v="4.72"/>
        <n v="1.63"/>
        <n v="0.91"/>
        <n v="19.02"/>
        <n v="11.95"/>
        <n v="4.1500000000000004"/>
        <n v="6.83"/>
        <n v="5.12"/>
        <n v="7.07"/>
        <n v="3.41"/>
        <n v="2.2000000000000002"/>
        <n v="0.98"/>
        <n v="21.51"/>
        <n v="11.63"/>
        <n v="18.02"/>
        <n v="3.49"/>
        <n v="8.14"/>
        <n v="6.98"/>
        <n v="0.57999999999999996"/>
        <n v="20.45"/>
        <n v="6.82"/>
        <n v="14.39"/>
        <n v="7.58"/>
        <n v="10.61"/>
        <n v="8.33"/>
        <n v="3.03"/>
        <n v="4.55"/>
        <n v="17.86"/>
        <n v="10.71"/>
        <n v="11.9"/>
        <n v="7.14"/>
        <n v="5.95"/>
        <n v="4.76"/>
        <n v="3.57"/>
        <n v="2.38"/>
        <n v="16.23"/>
        <n v="6.79"/>
        <n v="12.08"/>
        <n v="11.32"/>
        <n v="9.06"/>
        <n v="7.55"/>
        <n v="17.39"/>
        <n v="9.57"/>
        <n v="11.3"/>
        <n v="6.52"/>
        <n v="10.87"/>
        <n v="4.3499999999999996"/>
        <n v="19.11"/>
        <n v="15.85"/>
        <n v="6.91"/>
        <n v="4.88"/>
        <n v="6.5"/>
        <n v="3.25"/>
        <n v="8.1300000000000008"/>
        <n v="0.41"/>
        <n v="2.0299999999999998"/>
        <n v="12.12"/>
        <n v="15.15"/>
        <n v="19.7"/>
        <n v="9.09"/>
        <n v="18.95"/>
        <n v="5.23"/>
        <n v="13.07"/>
        <n v="4.9000000000000004"/>
        <n v="4.25"/>
        <n v="3.92"/>
        <n v="0.65"/>
        <n v="1.31"/>
        <n v="21.23"/>
        <n v="20.28"/>
        <n v="9.43"/>
        <n v="6.13"/>
        <n v="3.77"/>
        <n v="20.51"/>
        <n v="6.41"/>
        <n v="12.82"/>
        <n v="8.9700000000000006"/>
        <n v="14.1"/>
        <n v="7.69"/>
        <n v="2.56"/>
        <n v="1.28"/>
        <n v="6.11"/>
        <n v="18.32"/>
        <n v="16.79"/>
        <n v="7.63"/>
        <n v="11.45"/>
        <n v="4.58"/>
        <n v="5.34"/>
        <n v="3.82"/>
        <n v="22.95"/>
        <n v="3.28"/>
        <n v="9.02"/>
        <n v="6.56"/>
        <n v="1.64"/>
        <n v="0.82"/>
        <n v="10"/>
        <n v="17.14"/>
        <n v="8.57"/>
        <n v="5.71"/>
        <n v="4.29"/>
        <n v="2.86"/>
        <n v="18.52"/>
        <n v="19.440000000000001"/>
        <n v="14.81"/>
        <n v="3.7"/>
        <n v="7.41"/>
        <n v="4.63"/>
        <n v="0.93"/>
        <n v="19.77"/>
        <n v="11.86"/>
        <n v="15.25"/>
        <n v="9.0399999999999991"/>
        <n v="2.82"/>
        <n v="0.56000000000000005"/>
        <n v="15.49"/>
        <n v="17.61"/>
        <n v="11.27"/>
        <n v="7.75"/>
        <n v="4.2300000000000004"/>
        <n v="0.7"/>
        <n v="24.16"/>
        <n v="14.77"/>
        <n v="6.71"/>
        <n v="4.03"/>
      </sharedItems>
    </cacheField>
    <cacheField name="総数（法人）" numFmtId="0" sqlType="4">
      <sharedItems containsSemiMixedTypes="0" containsString="0" containsNumber="1" containsInteger="1" minValue="0" maxValue="5579" count="216">
        <n v="2120"/>
        <n v="1785"/>
        <n v="5579"/>
        <n v="5072"/>
        <n v="3366"/>
        <n v="3919"/>
        <n v="3648"/>
        <n v="1553"/>
        <n v="677"/>
        <n v="1304"/>
        <n v="1539"/>
        <n v="1558"/>
        <n v="1637"/>
        <n v="1462"/>
        <n v="1769"/>
        <n v="664"/>
        <n v="866"/>
        <n v="1282"/>
        <n v="1299"/>
        <n v="1266"/>
        <n v="376"/>
        <n v="901"/>
        <n v="286"/>
        <n v="745"/>
        <n v="478"/>
        <n v="601"/>
        <n v="604"/>
        <n v="259"/>
        <n v="94"/>
        <n v="207"/>
        <n v="212"/>
        <n v="336"/>
        <n v="218"/>
        <n v="225"/>
        <n v="262"/>
        <n v="254"/>
        <n v="202"/>
        <n v="194"/>
        <n v="196"/>
        <n v="197"/>
        <n v="322"/>
        <n v="124"/>
        <n v="132"/>
        <n v="96"/>
        <n v="185"/>
        <n v="227"/>
        <n v="155"/>
        <n v="174"/>
        <n v="154"/>
        <n v="27"/>
        <n v="87"/>
        <n v="56"/>
        <n v="109"/>
        <n v="97"/>
        <n v="52"/>
        <n v="74"/>
        <n v="71"/>
        <n v="49"/>
        <n v="66"/>
        <n v="150"/>
        <n v="51"/>
        <n v="140"/>
        <n v="116"/>
        <n v="28"/>
        <n v="104"/>
        <n v="45"/>
        <n v="12"/>
        <n v="29"/>
        <n v="24"/>
        <n v="47"/>
        <n v="33"/>
        <n v="41"/>
        <n v="37"/>
        <n v="38"/>
        <n v="30"/>
        <n v="170"/>
        <n v="61"/>
        <n v="17"/>
        <n v="76"/>
        <n v="101"/>
        <n v="50"/>
        <n v="35"/>
        <n v="36"/>
        <n v="40"/>
        <n v="34"/>
        <n v="18"/>
        <n v="32"/>
        <n v="157"/>
        <n v="171"/>
        <n v="153"/>
        <n v="123"/>
        <n v="10"/>
        <n v="21"/>
        <n v="26"/>
        <n v="22"/>
        <n v="25"/>
        <n v="39"/>
        <n v="20"/>
        <n v="70"/>
        <n v="16"/>
        <n v="53"/>
        <n v="46"/>
        <n v="15"/>
        <n v="19"/>
        <n v="23"/>
        <n v="9"/>
        <n v="13"/>
        <n v="75"/>
        <n v="57"/>
        <n v="42"/>
        <n v="31"/>
        <n v="73"/>
        <n v="48"/>
        <n v="5"/>
        <n v="43"/>
        <n v="14"/>
        <n v="8"/>
        <n v="3"/>
        <n v="6"/>
        <n v="691"/>
        <n v="182"/>
        <n v="108"/>
        <n v="285"/>
        <n v="175"/>
        <n v="276"/>
        <n v="152"/>
        <n v="95"/>
        <n v="187"/>
        <n v="92"/>
        <n v="138"/>
        <n v="85"/>
        <n v="91"/>
        <n v="88"/>
        <n v="90"/>
        <n v="243"/>
        <n v="165"/>
        <n v="633"/>
        <n v="324"/>
        <n v="357"/>
        <n v="228"/>
        <n v="142"/>
        <n v="162"/>
        <n v="265"/>
        <n v="172"/>
        <n v="133"/>
        <n v="135"/>
        <n v="122"/>
        <n v="111"/>
        <n v="103"/>
        <n v="54"/>
        <n v="11"/>
        <n v="7"/>
        <n v="62"/>
        <n v="129"/>
        <n v="166"/>
        <n v="110"/>
        <n v="126"/>
        <n v="44"/>
        <n v="167"/>
        <n v="494"/>
        <n v="331"/>
        <n v="224"/>
        <n v="321"/>
        <n v="69"/>
        <n v="107"/>
        <n v="125"/>
        <n v="253"/>
        <n v="136"/>
        <n v="186"/>
        <n v="112"/>
        <n v="105"/>
        <n v="144"/>
        <n v="128"/>
        <n v="93"/>
        <n v="77"/>
        <n v="79"/>
        <n v="63"/>
        <n v="67"/>
        <n v="158"/>
        <n v="113"/>
        <n v="55"/>
        <n v="131"/>
        <n v="82"/>
        <n v="64"/>
        <n v="72"/>
        <n v="2"/>
        <n v="159"/>
        <n v="59"/>
        <n v="58"/>
        <n v="448"/>
        <n v="118"/>
        <n v="332"/>
        <n v="282"/>
        <n v="208"/>
        <n v="198"/>
        <n v="102"/>
        <n v="99"/>
        <n v="65"/>
        <n v="86"/>
        <n v="4"/>
        <n v="1"/>
        <n v="0"/>
        <n v="383"/>
        <n v="274"/>
        <n v="216"/>
        <n v="145"/>
        <n v="127"/>
        <n v="81"/>
        <n v="130"/>
        <n v="120"/>
        <n v="117"/>
        <n v="100"/>
        <n v="83"/>
        <n v="98"/>
        <n v="68"/>
        <n v="78"/>
      </sharedItems>
    </cacheField>
    <cacheField name="構成比（法人）" numFmtId="0" sqlType="3">
      <sharedItems containsSemiMixedTypes="0" containsString="0" containsNumber="1" minValue="0" maxValue="21.57" count="557">
        <n v="3.69"/>
        <n v="3.11"/>
        <n v="9.7200000000000006"/>
        <n v="8.83"/>
        <n v="5.86"/>
        <n v="6.83"/>
        <n v="6.35"/>
        <n v="2.7"/>
        <n v="1.18"/>
        <n v="2.27"/>
        <n v="2.68"/>
        <n v="2.71"/>
        <n v="2.85"/>
        <n v="2.5499999999999998"/>
        <n v="3.08"/>
        <n v="1.1599999999999999"/>
        <n v="1.51"/>
        <n v="2.23"/>
        <n v="2.2599999999999998"/>
        <n v="2.21"/>
        <n v="4.24"/>
        <n v="10.16"/>
        <n v="3.22"/>
        <n v="8.4"/>
        <n v="5.39"/>
        <n v="6.77"/>
        <n v="6.81"/>
        <n v="2.92"/>
        <n v="1.06"/>
        <n v="2.33"/>
        <n v="2.39"/>
        <n v="3.79"/>
        <n v="2.46"/>
        <n v="2.54"/>
        <n v="2.95"/>
        <n v="2.86"/>
        <n v="2.2799999999999998"/>
        <n v="2.19"/>
        <n v="2.2200000000000002"/>
        <n v="10.68"/>
        <n v="4.1100000000000003"/>
        <n v="4.38"/>
        <n v="3.18"/>
        <n v="6.14"/>
        <n v="7.53"/>
        <n v="5.14"/>
        <n v="5.77"/>
        <n v="5.1100000000000003"/>
        <n v="0.9"/>
        <n v="2.89"/>
        <n v="1.86"/>
        <n v="3.12"/>
        <n v="3.62"/>
        <n v="1.72"/>
        <n v="2.4500000000000002"/>
        <n v="2.35"/>
        <n v="1.63"/>
        <n v="11.21"/>
        <n v="3.81"/>
        <n v="10.46"/>
        <n v="8.67"/>
        <n v="2.09"/>
        <n v="7.77"/>
        <n v="3.36"/>
        <n v="2.17"/>
        <n v="1.79"/>
        <n v="3.51"/>
        <n v="2.4700000000000002"/>
        <n v="3.06"/>
        <n v="2.77"/>
        <n v="2.84"/>
        <n v="2.2400000000000002"/>
        <n v="12.72"/>
        <n v="4.57"/>
        <n v="1.27"/>
        <n v="5.69"/>
        <n v="7.26"/>
        <n v="7.56"/>
        <n v="7.19"/>
        <n v="3.74"/>
        <n v="1.8"/>
        <n v="2.62"/>
        <n v="2.69"/>
        <n v="3.07"/>
        <n v="2.99"/>
        <n v="1.35"/>
        <n v="2.4"/>
        <n v="2.1"/>
        <n v="3.03"/>
        <n v="10.57"/>
        <n v="11.52"/>
        <n v="10.3"/>
        <n v="2.42"/>
        <n v="8.2799999999999994"/>
        <n v="4.9800000000000004"/>
        <n v="0.67"/>
        <n v="3.77"/>
        <n v="1.41"/>
        <n v="2.56"/>
        <n v="1.75"/>
        <n v="1.48"/>
        <n v="1.68"/>
        <n v="2.63"/>
        <n v="2.76"/>
        <n v="5.93"/>
        <n v="4.87"/>
        <n v="9.75"/>
        <n v="9.2200000000000006"/>
        <n v="2.11"/>
        <n v="6.98"/>
        <n v="5.4"/>
        <n v="6.06"/>
        <n v="1.98"/>
        <n v="2.5"/>
        <n v="2.64"/>
        <n v="1.19"/>
        <n v="1.71"/>
        <n v="5.33"/>
        <n v="8"/>
        <n v="6.08"/>
        <n v="7.04"/>
        <n v="4.4800000000000004"/>
        <n v="4.16"/>
        <n v="3.94"/>
        <n v="3.84"/>
        <n v="1.28"/>
        <n v="3.41"/>
        <n v="3.52"/>
        <n v="3.3"/>
        <n v="3.09"/>
        <n v="2.88"/>
        <n v="2.65"/>
        <n v="9.67"/>
        <n v="6.36"/>
        <n v="5.3"/>
        <n v="5.43"/>
        <n v="5.03"/>
        <n v="0.66"/>
        <n v="5.7"/>
        <n v="1.85"/>
        <n v="5.17"/>
        <n v="4.5"/>
        <n v="0.4"/>
        <n v="3.31"/>
        <n v="0.79"/>
        <n v="3.05"/>
        <n v="2.25"/>
        <n v="16.88"/>
        <n v="4.45"/>
        <n v="6.96"/>
        <n v="4.2699999999999996"/>
        <n v="6.74"/>
        <n v="1.39"/>
        <n v="3.71"/>
        <n v="2.3199999999999998"/>
        <n v="2.2999999999999998"/>
        <n v="3.37"/>
        <n v="2.13"/>
        <n v="2.08"/>
        <n v="2.15"/>
        <n v="2.2000000000000002"/>
        <n v="4.83"/>
        <n v="3.28"/>
        <n v="12.58"/>
        <n v="1.83"/>
        <n v="6.44"/>
        <n v="7.09"/>
        <n v="4.53"/>
        <n v="2.82"/>
        <n v="5.27"/>
        <n v="2.31"/>
        <n v="3.42"/>
        <n v="1.45"/>
        <n v="2.0499999999999998"/>
        <n v="1.89"/>
        <n v="5.42"/>
        <n v="9.15"/>
        <n v="7.97"/>
        <n v="4.58"/>
        <n v="2.0299999999999998"/>
        <n v="5.08"/>
        <n v="1.02"/>
        <n v="3.9"/>
        <n v="3.56"/>
        <n v="1.53"/>
        <n v="4.41"/>
        <n v="3.73"/>
        <n v="7.89"/>
        <n v="6.73"/>
        <n v="7.71"/>
        <n v="6.18"/>
        <n v="1.77"/>
        <n v="0.8"/>
        <n v="1.47"/>
        <n v="2.02"/>
        <n v="3.43"/>
        <n v="2.5099999999999998"/>
        <n v="0.92"/>
        <n v="1.9"/>
        <n v="3"/>
        <n v="11.16"/>
        <n v="7.48"/>
        <n v="5.0599999999999996"/>
        <n v="7.25"/>
        <n v="1.56"/>
        <n v="5.71"/>
        <n v="4.2"/>
        <n v="2.5299999999999998"/>
        <n v="2.8"/>
        <n v="2.37"/>
        <n v="9.24"/>
        <n v="8.2200000000000006"/>
        <n v="5.97"/>
        <n v="4.6900000000000004"/>
        <n v="5.84"/>
        <n v="1.99"/>
        <n v="0.71"/>
        <n v="1.54"/>
        <n v="3.34"/>
        <n v="2.1800000000000002"/>
        <n v="1.93"/>
        <n v="3.7"/>
        <n v="8.64"/>
        <n v="8.8699999999999992"/>
        <n v="1.1200000000000001"/>
        <n v="5.61"/>
        <n v="7.07"/>
        <n v="2.58"/>
        <n v="3.93"/>
        <n v="3.14"/>
        <n v="0.56000000000000005"/>
        <n v="1.91"/>
        <n v="4.1900000000000004"/>
        <n v="3.13"/>
        <n v="9.6999999999999993"/>
        <n v="9.89"/>
        <n v="5.63"/>
        <n v="0.69"/>
        <n v="3.44"/>
        <n v="3.82"/>
        <n v="1.31"/>
        <n v="1.88"/>
        <n v="2.38"/>
        <n v="0.81"/>
        <n v="3.63"/>
        <n v="8.59"/>
        <n v="5.73"/>
        <n v="6.56"/>
        <n v="2.72"/>
        <n v="1.26"/>
        <n v="3.35"/>
        <n v="4.47"/>
        <n v="2.16"/>
        <n v="3.17"/>
        <n v="3.78"/>
        <n v="10.88"/>
        <n v="8.31"/>
        <n v="8.61"/>
        <n v="5.89"/>
        <n v="6.8"/>
        <n v="0.91"/>
        <n v="1.96"/>
        <n v="3.02"/>
        <n v="2.57"/>
        <n v="1.21"/>
        <n v="2.59"/>
        <n v="1.62"/>
        <n v="14.89"/>
        <n v="10.19"/>
        <n v="7.61"/>
        <n v="6.31"/>
        <n v="6.15"/>
        <n v="0.32"/>
        <n v="3.4"/>
        <n v="1.1299999999999999"/>
        <n v="0.97"/>
        <n v="1.94"/>
        <n v="1.78"/>
        <n v="2.4300000000000002"/>
        <n v="13.29"/>
        <n v="4.18"/>
        <n v="4.3499999999999996"/>
        <n v="5.85"/>
        <n v="2.93"/>
        <n v="4.93"/>
        <n v="4.68"/>
        <n v="4.8499999999999996"/>
        <n v="3.6"/>
        <n v="1.67"/>
        <n v="1.59"/>
        <n v="1.84"/>
        <n v="2.0099999999999998"/>
        <n v="11.28"/>
        <n v="2.97"/>
        <n v="8.36"/>
        <n v="7.1"/>
        <n v="5.24"/>
        <n v="3.95"/>
        <n v="4.99"/>
        <n v="1.69"/>
        <n v="2.4900000000000002"/>
        <n v="1.64"/>
        <n v="7.62"/>
        <n v="14.29"/>
        <n v="13.33"/>
        <n v="4.29"/>
        <n v="0.95"/>
        <n v="1.43"/>
        <n v="0.48"/>
        <n v="0"/>
        <n v="13.75"/>
        <n v="9.1199999999999992"/>
        <n v="9.84"/>
        <n v="7.76"/>
        <n v="0.83"/>
        <n v="2.94"/>
        <n v="1.1100000000000001"/>
        <n v="1.4"/>
        <n v="2.73"/>
        <n v="2.12"/>
        <n v="3.92"/>
        <n v="9.9700000000000006"/>
        <n v="2.06"/>
        <n v="8.73"/>
        <n v="3.65"/>
        <n v="5.57"/>
        <n v="3.85"/>
        <n v="6.26"/>
        <n v="2.48"/>
        <n v="2.41"/>
        <n v="2.75"/>
        <n v="5"/>
        <n v="4.26"/>
        <n v="8.7799999999999994"/>
        <n v="8.11"/>
        <n v="5.07"/>
        <n v="2.91"/>
        <n v="5.81"/>
        <n v="3.24"/>
        <n v="1.76"/>
        <n v="1.55"/>
        <n v="2.36"/>
        <n v="12.77"/>
        <n v="3.49"/>
        <n v="1.97"/>
        <n v="9.2799999999999994"/>
        <n v="5.46"/>
        <n v="6.66"/>
        <n v="4.91"/>
        <n v="3.38"/>
        <n v="2.0699999999999998"/>
        <n v="2.29"/>
        <n v="3.1"/>
        <n v="6.9"/>
        <n v="9.76"/>
        <n v="3.57"/>
        <n v="4.05"/>
        <n v="2.14"/>
        <n v="10.81"/>
        <n v="10.49"/>
        <n v="6.09"/>
        <n v="1.57"/>
        <n v="3.46"/>
        <n v="1.1499999999999999"/>
        <n v="3.88"/>
        <n v="10.38"/>
        <n v="8.25"/>
        <n v="6.38"/>
        <n v="8.75"/>
        <n v="0.63"/>
        <n v="3.75"/>
        <n v="3.5"/>
        <n v="1"/>
        <n v="2"/>
        <n v="11.31"/>
        <n v="7.98"/>
        <n v="8.1999999999999993"/>
        <n v="5.0999999999999996"/>
        <n v="9.5299999999999994"/>
        <n v="2.66"/>
        <n v="2.44"/>
        <n v="1.33"/>
        <n v="14.04"/>
        <n v="3.83"/>
        <n v="3.64"/>
        <n v="6.37"/>
        <n v="4.74"/>
        <n v="4.42"/>
        <n v="2.34"/>
        <n v="3.54"/>
        <n v="9.02"/>
        <n v="8.68"/>
        <n v="6.39"/>
        <n v="3.2"/>
        <n v="12.79"/>
        <n v="10.17"/>
        <n v="10.02"/>
        <n v="6.47"/>
        <n v="0.31"/>
        <n v="2.61"/>
        <n v="9.44"/>
        <n v="9.69"/>
        <n v="3.98"/>
        <n v="4.0999999999999996"/>
        <n v="1.74"/>
        <n v="0.25"/>
        <n v="3.23"/>
        <n v="1.49"/>
        <n v="0.62"/>
        <n v="8.91"/>
        <n v="7.69"/>
        <n v="4.8600000000000003"/>
        <n v="4.59"/>
        <n v="0.94"/>
        <n v="4.32"/>
        <n v="6.58"/>
        <n v="7.21"/>
        <n v="3.76"/>
        <n v="4.7"/>
        <n v="0.47"/>
        <n v="2.04"/>
        <n v="1.1000000000000001"/>
        <n v="12.76"/>
        <n v="9.2100000000000009"/>
        <n v="6.69"/>
        <n v="4.3899999999999997"/>
        <n v="4.8099999999999996"/>
        <n v="1.46"/>
        <n v="0.84"/>
        <n v="13.25"/>
        <n v="5.5"/>
        <n v="9"/>
        <n v="4.25"/>
        <n v="0.75"/>
        <n v="6.5"/>
        <n v="0.5"/>
        <n v="1.25"/>
        <n v="6.79"/>
        <n v="17.93"/>
        <n v="8.42"/>
        <n v="3.53"/>
        <n v="1.36"/>
        <n v="0.27"/>
        <n v="1.0900000000000001"/>
        <n v="9.61"/>
        <n v="11.99"/>
        <n v="7.99"/>
        <n v="7.74"/>
        <n v="6.12"/>
        <n v="3.87"/>
        <n v="1.37"/>
        <n v="14.05"/>
        <n v="8.39"/>
        <n v="6.71"/>
        <n v="5.66"/>
        <n v="2.52"/>
        <n v="10.79"/>
        <n v="15"/>
        <n v="5.53"/>
        <n v="7.11"/>
        <n v="3.68"/>
        <n v="1.05"/>
        <n v="1.32"/>
        <n v="0.53"/>
        <n v="4.13"/>
        <n v="6.42"/>
        <n v="11.93"/>
        <n v="6.65"/>
        <n v="1.61"/>
        <n v="0.46"/>
        <n v="3.67"/>
        <n v="5.28"/>
        <n v="3.21"/>
        <n v="17.260000000000002"/>
        <n v="12.83"/>
        <n v="7.08"/>
        <n v="5.75"/>
        <n v="7.52"/>
        <n v="0.44"/>
        <n v="0.88"/>
        <n v="4.1399999999999997"/>
        <n v="13.1"/>
        <n v="7.59"/>
        <n v="5.52"/>
        <n v="3.45"/>
        <n v="6.21"/>
        <n v="1.38"/>
        <n v="14.63"/>
        <n v="4.88"/>
        <n v="7.32"/>
        <n v="3.16"/>
        <n v="17.09"/>
        <n v="3.8"/>
        <n v="6.33"/>
        <n v="4.43"/>
        <n v="6.02"/>
        <n v="9.64"/>
        <n v="14.46"/>
        <n v="4.82"/>
        <n v="7.23"/>
        <n v="1.2"/>
        <n v="3.61"/>
        <n v="5.49"/>
        <n v="15.38"/>
        <n v="7.14"/>
        <n v="8.24"/>
        <n v="1.65"/>
        <n v="4.4000000000000004"/>
        <n v="9.42"/>
        <n v="2.9"/>
        <n v="0.72"/>
        <n v="5.8"/>
        <n v="10.050000000000001"/>
        <n v="15.07"/>
        <n v="5.48"/>
        <n v="5.0199999999999996"/>
        <n v="2.74"/>
        <n v="5.38"/>
        <n v="0.77"/>
        <n v="13.08"/>
        <n v="11.54"/>
        <n v="4.62"/>
        <n v="21.57"/>
        <n v="5.88"/>
        <n v="7.84"/>
        <n v="11.76"/>
        <n v="19.61"/>
        <n v="0.98"/>
        <n v="10.78"/>
        <n v="4.9000000000000004"/>
        <n v="6.86"/>
        <n v="4.04"/>
        <n v="13.13"/>
        <n v="9.09"/>
        <n v="8.08"/>
        <n v="5.05"/>
        <n v="1.01"/>
        <n v="11.69"/>
        <n v="5.19"/>
        <n v="2.6"/>
        <n v="6.49"/>
        <n v="1.3"/>
        <n v="18.989999999999998"/>
        <n v="8.86"/>
        <n v="6.82"/>
        <n v="12.12"/>
        <n v="7.58"/>
        <n v="4.55"/>
        <n v="1.52"/>
        <n v="0.76"/>
        <n v="6.17"/>
        <n v="7.41"/>
        <n v="13.58"/>
        <n v="4.9400000000000004"/>
        <n v="1.23"/>
        <n v="8.43"/>
        <n v="12.05"/>
      </sharedItems>
    </cacheField>
    <cacheField name="総数（法人以外の団体）" numFmtId="0" sqlType="4">
      <sharedItems containsSemiMixedTypes="0" containsString="0" containsNumber="1" containsInteger="1" minValue="0" maxValue="11" count="8">
        <n v="3"/>
        <n v="1"/>
        <n v="11"/>
        <n v="5"/>
        <n v="0"/>
        <n v="6"/>
        <n v="4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8942476854" createdVersion="5" refreshedVersion="8" minRefreshableVersion="3" recordCount="1339" xr:uid="{DEE2C5AE-D61F-4463-B350-9C70BE0A5483}">
  <cacheSource type="external" connectionId="3"/>
  <cacheFields count="14">
    <cacheField name="都道府県" numFmtId="0" sqlType="-9">
      <sharedItems count="1">
        <s v="12 千葉県"/>
      </sharedItems>
    </cacheField>
    <cacheField name="自治体名" numFmtId="0" sqlType="-9">
      <sharedItems count="61">
        <s v="千葉県"/>
        <s v="千葉市"/>
        <s v="千葉市中央区"/>
        <s v="千葉市花見川区"/>
        <s v="千葉市稲毛区"/>
        <s v="千葉市若葉区"/>
        <s v="千葉市緑区"/>
        <s v="千葉市美浜区"/>
        <s v="銚子市"/>
        <s v="市川市"/>
        <s v="船橋市"/>
        <s v="館山市"/>
        <s v="木更津市"/>
        <s v="松戸市"/>
        <s v="野田市"/>
        <s v="茂原市"/>
        <s v="成田市"/>
        <s v="佐倉市"/>
        <s v="東金市"/>
        <s v="旭市"/>
        <s v="習志野市"/>
        <s v="柏市"/>
        <s v="勝浦市"/>
        <s v="市原市"/>
        <s v="流山市"/>
        <s v="八千代市"/>
        <s v="我孫子市"/>
        <s v="鴨川市"/>
        <s v="鎌ケ谷市"/>
        <s v="君津市"/>
        <s v="富津市"/>
        <s v="浦安市"/>
        <s v="四街道市"/>
        <s v="袖ケ浦市"/>
        <s v="八街市"/>
        <s v="印西市"/>
        <s v="白井市"/>
        <s v="富里市"/>
        <s v="南房総市"/>
        <s v="匝瑳市"/>
        <s v="香取市"/>
        <s v="山武市"/>
        <s v="いすみ市"/>
        <s v="大網白里市"/>
        <s v="印旛郡酒々井町"/>
        <s v="印旛郡栄町"/>
        <s v="香取郡神崎町"/>
        <s v="香取郡多古町"/>
        <s v="香取郡東庄町"/>
        <s v="山武郡九十九里町"/>
        <s v="山武郡芝山町"/>
        <s v="山武郡横芝光町"/>
        <s v="長生郡一宮町"/>
        <s v="長生郡睦沢町"/>
        <s v="長生郡長生村"/>
        <s v="長生郡白子町"/>
        <s v="長生郡長柄町"/>
        <s v="長生郡長南町"/>
        <s v="夷隅郡大多喜町"/>
        <s v="夷隅郡御宿町"/>
        <s v="安房郡鋸南町"/>
      </sharedItems>
    </cacheField>
    <cacheField name="自治体" numFmtId="0" sqlType="-9">
      <sharedItems count="61">
        <s v="12000 千葉県"/>
        <s v="12100 千葉市"/>
        <s v="12101 千葉市中央区"/>
        <s v="12102 千葉市花見川区"/>
        <s v="12103 千葉市稲毛区"/>
        <s v="12104 千葉市若葉区"/>
        <s v="12105 千葉市緑区"/>
        <s v="12106 千葉市美浜区"/>
        <s v="12202 銚子市"/>
        <s v="12203 市川市"/>
        <s v="12204 船橋市"/>
        <s v="12205 館山市"/>
        <s v="12206 木更津市"/>
        <s v="12207 松戸市"/>
        <s v="12208 野田市"/>
        <s v="12210 茂原市"/>
        <s v="12211 成田市"/>
        <s v="12212 佐倉市"/>
        <s v="12213 東金市"/>
        <s v="12215 旭市"/>
        <s v="12216 習志野市"/>
        <s v="12217 柏市"/>
        <s v="12218 勝浦市"/>
        <s v="12219 市原市"/>
        <s v="12220 流山市"/>
        <s v="12221 八千代市"/>
        <s v="12222 我孫子市"/>
        <s v="12223 鴨川市"/>
        <s v="12224 鎌ケ谷市"/>
        <s v="12225 君津市"/>
        <s v="12226 富津市"/>
        <s v="12227 浦安市"/>
        <s v="12228 四街道市"/>
        <s v="12229 袖ケ浦市"/>
        <s v="12230 八街市"/>
        <s v="12231 印西市"/>
        <s v="12232 白井市"/>
        <s v="12233 富里市"/>
        <s v="12234 南房総市"/>
        <s v="12235 匝瑳市"/>
        <s v="12236 香取市"/>
        <s v="12237 山武市"/>
        <s v="12238 いすみ市"/>
        <s v="12239 大網白里市"/>
        <s v="12322 印旛郡酒々井町"/>
        <s v="12329 印旛郡栄町"/>
        <s v="12342 香取郡神崎町"/>
        <s v="12347 香取郡多古町"/>
        <s v="12349 香取郡東庄町"/>
        <s v="12403 山武郡九十九里町"/>
        <s v="12409 山武郡芝山町"/>
        <s v="12410 山武郡横芝光町"/>
        <s v="12421 長生郡一宮町"/>
        <s v="12422 長生郡睦沢町"/>
        <s v="12423 長生郡長生村"/>
        <s v="12424 長生郡白子町"/>
        <s v="12426 長生郡長柄町"/>
        <s v="12427 長生郡長南町"/>
        <s v="12441 夷隅郡大多喜町"/>
        <s v="12443 夷隅郡御宿町"/>
        <s v="12463 安房郡鋸南町"/>
      </sharedItems>
    </cacheField>
    <cacheField name="産業分類コード" numFmtId="0" sqlType="-8">
      <sharedItems count="97">
        <s v="783"/>
        <s v="692"/>
        <s v="782"/>
        <s v="762"/>
        <s v="765"/>
        <s v="835"/>
        <s v="824"/>
        <s v="609"/>
        <s v="081"/>
        <s v="083"/>
        <s v="062"/>
        <s v="065"/>
        <s v="591"/>
        <s v="891"/>
        <s v="589"/>
        <s v="694"/>
        <s v="691"/>
        <s v="064"/>
        <s v="742"/>
        <s v="066"/>
        <s v="833"/>
        <s v="781"/>
        <s v="603"/>
        <s v="721"/>
        <s v="789"/>
        <s v="682"/>
        <s v="079"/>
        <s v="078"/>
        <s v="072"/>
        <s v="823"/>
        <s v="573"/>
        <s v="729"/>
        <s v="799"/>
        <s v="854"/>
        <s v="391"/>
        <s v="579"/>
        <s v="559"/>
        <s v="521"/>
        <s v="929"/>
        <s v="586"/>
        <s v="605"/>
        <s v="092"/>
        <s v="761"/>
        <s v="584"/>
        <s v="531"/>
        <s v="766"/>
        <s v="751"/>
        <s v="767"/>
        <s v="077"/>
        <s v="071"/>
        <s v="693"/>
        <s v="585"/>
        <s v="809"/>
        <s v="084"/>
        <s v="607"/>
        <s v="244"/>
        <s v="593"/>
        <s v="728"/>
        <s v="542"/>
        <s v="611"/>
        <s v="855"/>
        <s v="076"/>
        <s v="681"/>
        <s v="572"/>
        <s v="602"/>
        <s v="608"/>
        <s v="604"/>
        <s v="674"/>
        <s v="094"/>
        <s v="289"/>
        <s v="522"/>
        <s v="601"/>
        <s v="836"/>
        <s v="073"/>
        <s v="722"/>
        <s v="207"/>
        <s v="471"/>
        <s v="484"/>
        <s v="441"/>
        <s v="771"/>
        <s v="581"/>
        <s v="212"/>
        <s v="269"/>
        <s v="541"/>
        <s v="582"/>
        <s v="097"/>
        <s v="253"/>
        <s v="082"/>
        <s v="121"/>
        <s v="184"/>
        <s v="229"/>
        <s v="259"/>
        <s v="881"/>
        <s v="882"/>
        <s v="759"/>
        <s v="763"/>
        <s v="606"/>
      </sharedItems>
    </cacheField>
    <cacheField name="産業分類" numFmtId="0" sqlType="-9">
      <sharedItems count="97">
        <s v="美容業"/>
        <s v="貸家業，貸間業"/>
        <s v="理容業"/>
        <s v="専門料理店"/>
        <s v="酒場，ビヤホール"/>
        <s v="療術業"/>
        <s v="教養・技能教授業"/>
        <s v="他に分類されない小売業"/>
        <s v="電気工事業"/>
        <s v="管工事業（さく井工事業を除く）"/>
        <s v="土木工事業（舗装工事業を除く）"/>
        <s v="木造建築工事業"/>
        <s v="自動車小売業"/>
        <s v="自動車整備業"/>
        <s v="その他の飲食料品小売業"/>
        <s v="不動産管理業"/>
        <s v="不動産賃貸業（貸家業，貸間業を除く）"/>
        <s v="建築工事業（木造建築工事業を除く）"/>
        <s v="土木建築サービス業"/>
        <s v="建築リフォーム工事業"/>
        <s v="歯科診療所"/>
        <s v="洗濯業"/>
        <s v="医薬品・化粧品小売業"/>
        <s v="法律事務所，特許事務所"/>
        <s v="その他の洗濯・理容・美容・浴場業"/>
        <s v="不動産代理業・仲介業"/>
        <s v="その他の職別工事業"/>
        <s v="床・内装工事業"/>
        <s v="とび・土工・コンクリート工事業"/>
        <s v="学習塾"/>
        <s v="婦人・子供服小売業"/>
        <s v="その他の専門サービス業"/>
        <s v="他に分類されない生活関連サービス業"/>
        <s v="老人福祉・介護事業"/>
        <s v="ソフトウェア業"/>
        <s v="その他の織物・衣服・身の回り品小売業"/>
        <s v="他に分類されない卸売業"/>
        <s v="農畜産物・水産物卸売業"/>
        <s v="他に分類されない事業サービス業"/>
        <s v="菓子・パン小売業"/>
        <s v="燃料小売業"/>
        <s v="水産食料品製造業"/>
        <s v="食堂，レストラン（専門料理店を除く）"/>
        <s v="鮮魚小売業"/>
        <s v="建築材料卸売業"/>
        <s v="バー，キャバレー，ナイトクラブ"/>
        <s v="旅館，ホテル"/>
        <s v="喫茶店"/>
        <s v="塗装工事業"/>
        <s v="大工工事業"/>
        <s v="駐車場業"/>
        <s v="酒小売業"/>
        <s v="その他の娯楽業"/>
        <s v="機械器具設置工事業"/>
        <s v="スポーツ用品・がん具・娯楽用品・楽器小売業"/>
        <s v="建設用・建築用金属製品製造業（製缶板金業を含む）"/>
        <s v="機械器具小売業（自動車，自転車を除く）"/>
        <s v="経営コンサルタント業，純粋持株会社"/>
        <s v="自動車卸売業"/>
        <s v="通信販売・訪問販売小売業"/>
        <s v="障害者福祉事業"/>
        <s v="板金・金物工事業"/>
        <s v="建物売買業，土地売買業"/>
        <s v="男子服小売業"/>
        <s v="じゅう器小売業"/>
        <s v="写真機・時計・眼鏡小売業"/>
        <s v="農耕用品小売業"/>
        <s v="保険媒介代理業"/>
        <s v="調味料製造業"/>
        <s v="その他の電子部品・デバイス・電子回路製造業"/>
        <s v="食料・飲料卸売業"/>
        <s v="家具・建具・畳小売業"/>
        <s v="医療に附帯するサービス業"/>
        <s v="鉄骨・鉄筋工事業"/>
        <s v="公証人役場，司法書士事務所，土地家屋調査士事務所"/>
        <s v="袋物製造業"/>
        <s v="倉庫業（冷蔵倉庫業を除く）"/>
        <s v="こん包業"/>
        <s v="一般貨物自動車運送業"/>
        <s v="持ち帰り飲食サービス業"/>
        <s v="各種食料品小売業"/>
        <s v="セメント・同製品製造業"/>
        <s v="その他の生産用機械・同部分品製造業"/>
        <s v="産業機械器具卸売業"/>
        <s v="野菜・果実小売業"/>
        <s v="パン・菓子製造業"/>
        <s v="一般産業用機械・装置製造業"/>
        <s v="電気通信・信号装置工事業"/>
        <s v="製材業，木製品製造業"/>
        <s v="発泡・強化プラスチック製品製造業"/>
        <s v="その他の鉄鋼業"/>
        <s v="その他のはん用機械・同部分品製造業"/>
        <s v="一般廃棄物処理業"/>
        <s v="産業廃棄物処理業"/>
        <s v="その他の宿泊業"/>
        <s v="そば・うどん店"/>
        <s v="書籍・文房具小売業"/>
      </sharedItems>
    </cacheField>
    <cacheField name="産業小分類" numFmtId="0" sqlType="-9">
      <sharedItems count="97">
        <s v="783 美容業"/>
        <s v="692 貸家業，貸間業"/>
        <s v="782 理容業"/>
        <s v="762 専門料理店"/>
        <s v="765 酒場，ビヤホール"/>
        <s v="835 療術業"/>
        <s v="824 教養・技能教授業"/>
        <s v="609 他に分類されない小売業"/>
        <s v="081 電気工事業"/>
        <s v="083 管工事業（さく井工事業を除く）"/>
        <s v="062 土木工事業（舗装工事業を除く）"/>
        <s v="065 木造建築工事業"/>
        <s v="591 自動車小売業"/>
        <s v="891 自動車整備業"/>
        <s v="589 その他の飲食料品小売業"/>
        <s v="694 不動産管理業"/>
        <s v="691 不動産賃貸業（貸家業，貸間業を除く）"/>
        <s v="064 建築工事業（木造建築工事業を除く）"/>
        <s v="742 土木建築サービス業"/>
        <s v="066 建築リフォーム工事業"/>
        <s v="833 歯科診療所"/>
        <s v="781 洗濯業"/>
        <s v="603 医薬品・化粧品小売業"/>
        <s v="721 法律事務所，特許事務所"/>
        <s v="789 その他の洗濯・理容・美容・浴場業"/>
        <s v="682 不動産代理業・仲介業"/>
        <s v="079 その他の職別工事業"/>
        <s v="078 床・内装工事業"/>
        <s v="072 とび・土工・コンクリート工事業"/>
        <s v="823 学習塾"/>
        <s v="573 婦人・子供服小売業"/>
        <s v="729 その他の専門サービス業"/>
        <s v="799 他に分類されない生活関連サービス業"/>
        <s v="854 老人福祉・介護事業"/>
        <s v="391 ソフトウェア業"/>
        <s v="579 その他の織物・衣服・身の回り品小売業"/>
        <s v="559 他に分類されない卸売業"/>
        <s v="521 農畜産物・水産物卸売業"/>
        <s v="929 他に分類されない事業サービス業"/>
        <s v="586 菓子・パン小売業"/>
        <s v="605 燃料小売業"/>
        <s v="092 水産食料品製造業"/>
        <s v="761 食堂，レストラン（専門料理店を除く）"/>
        <s v="584 鮮魚小売業"/>
        <s v="531 建築材料卸売業"/>
        <s v="766 バー，キャバレー，ナイトクラブ"/>
        <s v="751 旅館，ホテル"/>
        <s v="767 喫茶店"/>
        <s v="077 塗装工事業"/>
        <s v="071 大工工事業"/>
        <s v="693 駐車場業"/>
        <s v="585 酒小売業"/>
        <s v="809 その他の娯楽業"/>
        <s v="084 機械器具設置工事業"/>
        <s v="607 スポーツ用品・がん具・娯楽用品・楽器小売業"/>
        <s v="244 建設用・建築用金属製品製造業（製缶板金業を含む）"/>
        <s v="593 機械器具小売業（自動車，自転車を除く）"/>
        <s v="728 経営コンサルタント業，純粋持株会社"/>
        <s v="542 自動車卸売業"/>
        <s v="611 通信販売・訪問販売小売業"/>
        <s v="855 障害者福祉事業"/>
        <s v="076 板金・金物工事業"/>
        <s v="681 建物売買業，土地売買業"/>
        <s v="572 男子服小売業"/>
        <s v="602 じゅう器小売業"/>
        <s v="608 写真機・時計・眼鏡小売業"/>
        <s v="604 農耕用品小売業"/>
        <s v="674 保険媒介代理業"/>
        <s v="094 調味料製造業"/>
        <s v="289 その他の電子部品・デバイス・電子回路製造業"/>
        <s v="522 食料・飲料卸売業"/>
        <s v="601 家具・建具・畳小売業"/>
        <s v="836 医療に附帯するサービス業"/>
        <s v="073 鉄骨・鉄筋工事業"/>
        <s v="722 公証人役場，司法書士事務所，土地家屋調査士事務所"/>
        <s v="207 袋物製造業"/>
        <s v="471 倉庫業（冷蔵倉庫業を除く）"/>
        <s v="484 こん包業"/>
        <s v="441 一般貨物自動車運送業"/>
        <s v="771 持ち帰り飲食サービス業"/>
        <s v="581 各種食料品小売業"/>
        <s v="212 セメント・同製品製造業"/>
        <s v="269 その他の生産用機械・同部分品製造業"/>
        <s v="541 産業機械器具卸売業"/>
        <s v="582 野菜・果実小売業"/>
        <s v="097 パン・菓子製造業"/>
        <s v="253 一般産業用機械・装置製造業"/>
        <s v="082 電気通信・信号装置工事業"/>
        <s v="121 製材業，木製品製造業"/>
        <s v="184 発泡・強化プラスチック製品製造業"/>
        <s v="229 その他の鉄鋼業"/>
        <s v="259 その他のはん用機械・同部分品製造業"/>
        <s v="881 一般廃棄物処理業"/>
        <s v="882 産業廃棄物処理業"/>
        <s v="759 その他の宿泊業"/>
        <s v="763 そば・うどん店"/>
        <s v="606 書籍・文房具小売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2" maxValue="5199" count="200">
        <n v="5199"/>
        <n v="4397"/>
        <n v="3609"/>
        <n v="2912"/>
        <n v="2825"/>
        <n v="2587"/>
        <n v="2195"/>
        <n v="1771"/>
        <n v="1691"/>
        <n v="1666"/>
        <n v="1652"/>
        <n v="1628"/>
        <n v="1563"/>
        <n v="1554"/>
        <n v="1543"/>
        <n v="1451"/>
        <n v="1434"/>
        <n v="1364"/>
        <n v="1335"/>
        <n v="1332"/>
        <n v="728"/>
        <n v="647"/>
        <n v="449"/>
        <n v="328"/>
        <n v="310"/>
        <n v="271"/>
        <n v="261"/>
        <n v="259"/>
        <n v="255"/>
        <n v="248"/>
        <n v="232"/>
        <n v="231"/>
        <n v="216"/>
        <n v="214"/>
        <n v="207"/>
        <n v="206"/>
        <n v="199"/>
        <n v="189"/>
        <n v="186"/>
        <n v="185"/>
        <n v="289"/>
        <n v="201"/>
        <n v="141"/>
        <n v="131"/>
        <n v="127"/>
        <n v="115"/>
        <n v="106"/>
        <n v="105"/>
        <n v="101"/>
        <n v="98"/>
        <n v="79"/>
        <n v="74"/>
        <n v="68"/>
        <n v="66"/>
        <n v="63"/>
        <n v="62"/>
        <n v="60"/>
        <n v="58"/>
        <n v="151"/>
        <n v="104"/>
        <n v="78"/>
        <n v="49"/>
        <n v="47"/>
        <n v="46"/>
        <n v="44"/>
        <n v="42"/>
        <n v="40"/>
        <n v="39"/>
        <n v="38"/>
        <n v="37"/>
        <n v="35"/>
        <n v="33"/>
        <n v="32"/>
        <n v="31"/>
        <n v="163"/>
        <n v="97"/>
        <n v="72"/>
        <n v="45"/>
        <n v="43"/>
        <n v="34"/>
        <n v="30"/>
        <n v="29"/>
        <n v="28"/>
        <n v="27"/>
        <n v="112"/>
        <n v="89"/>
        <n v="67"/>
        <n v="65"/>
        <n v="57"/>
        <n v="54"/>
        <n v="52"/>
        <n v="51"/>
        <n v="36"/>
        <n v="96"/>
        <n v="48"/>
        <n v="24"/>
        <n v="23"/>
        <n v="22"/>
        <n v="21"/>
        <n v="20"/>
        <n v="19"/>
        <n v="18"/>
        <n v="16"/>
        <n v="15"/>
        <n v="17"/>
        <n v="109"/>
        <n v="86"/>
        <n v="70"/>
        <n v="50"/>
        <n v="641"/>
        <n v="325"/>
        <n v="225"/>
        <n v="192"/>
        <n v="154"/>
        <n v="126"/>
        <n v="119"/>
        <n v="116"/>
        <n v="103"/>
        <n v="100"/>
        <n v="81"/>
        <n v="77"/>
        <n v="403"/>
        <n v="370"/>
        <n v="270"/>
        <n v="254"/>
        <n v="251"/>
        <n v="234"/>
        <n v="194"/>
        <n v="149"/>
        <n v="139"/>
        <n v="138"/>
        <n v="132"/>
        <n v="122"/>
        <n v="93"/>
        <n v="59"/>
        <n v="55"/>
        <n v="26"/>
        <n v="25"/>
        <n v="165"/>
        <n v="87"/>
        <n v="64"/>
        <n v="56"/>
        <n v="53"/>
        <n v="41"/>
        <n v="389"/>
        <n v="381"/>
        <n v="262"/>
        <n v="260"/>
        <n v="257"/>
        <n v="236"/>
        <n v="196"/>
        <n v="160"/>
        <n v="152"/>
        <n v="118"/>
        <n v="110"/>
        <n v="102"/>
        <n v="92"/>
        <n v="85"/>
        <n v="91"/>
        <n v="84"/>
        <n v="83"/>
        <n v="124"/>
        <n v="148"/>
        <n v="76"/>
        <n v="69"/>
        <n v="212"/>
        <n v="177"/>
        <n v="167"/>
        <n v="159"/>
        <n v="153"/>
        <n v="94"/>
        <n v="90"/>
        <n v="14"/>
        <n v="12"/>
        <n v="11"/>
        <n v="10"/>
        <n v="9"/>
        <n v="238"/>
        <n v="188"/>
        <n v="155"/>
        <n v="147"/>
        <n v="136"/>
        <n v="128"/>
        <n v="80"/>
        <n v="73"/>
        <n v="61"/>
        <n v="142"/>
        <n v="125"/>
        <n v="88"/>
        <n v="82"/>
        <n v="13"/>
        <n v="156"/>
        <n v="71"/>
        <n v="8"/>
        <n v="7"/>
        <n v="6"/>
        <n v="5"/>
        <n v="4"/>
        <n v="3"/>
        <n v="2"/>
      </sharedItems>
    </cacheField>
    <cacheField name="構成比" numFmtId="0" sqlType="3">
      <sharedItems containsSemiMixedTypes="0" containsString="0" containsNumber="1" minValue="1.05" maxValue="9.68" count="353">
        <n v="5.17"/>
        <n v="4.37"/>
        <n v="3.59"/>
        <n v="2.9"/>
        <n v="2.81"/>
        <n v="2.57"/>
        <n v="2.1800000000000002"/>
        <n v="1.76"/>
        <n v="1.68"/>
        <n v="1.66"/>
        <n v="1.64"/>
        <n v="1.62"/>
        <n v="1.55"/>
        <n v="1.53"/>
        <n v="1.44"/>
        <n v="1.43"/>
        <n v="1.36"/>
        <n v="1.33"/>
        <n v="1.32"/>
        <n v="5.5"/>
        <n v="4.8899999999999997"/>
        <n v="3.39"/>
        <n v="2.48"/>
        <n v="2.34"/>
        <n v="2.0499999999999998"/>
        <n v="1.97"/>
        <n v="1.96"/>
        <n v="1.93"/>
        <n v="1.87"/>
        <n v="1.75"/>
        <n v="1.74"/>
        <n v="1.63"/>
        <n v="1.56"/>
        <n v="1.5"/>
        <n v="1.41"/>
        <n v="1.4"/>
        <n v="6.23"/>
        <n v="4.33"/>
        <n v="3.04"/>
        <n v="2.82"/>
        <n v="2.74"/>
        <n v="2.2799999999999998"/>
        <n v="2.2599999999999998"/>
        <n v="2.11"/>
        <n v="1.7"/>
        <n v="1.6"/>
        <n v="1.47"/>
        <n v="1.42"/>
        <n v="1.34"/>
        <n v="1.29"/>
        <n v="1.25"/>
        <n v="7.25"/>
        <n v="5"/>
        <n v="3.75"/>
        <n v="2.35"/>
        <n v="2.21"/>
        <n v="2.02"/>
        <n v="1.92"/>
        <n v="1.83"/>
        <n v="1.78"/>
        <n v="1.59"/>
        <n v="1.54"/>
        <n v="1.49"/>
        <n v="7.98"/>
        <n v="4.75"/>
        <n v="3.53"/>
        <n v="2.2000000000000002"/>
        <n v="2.15"/>
        <n v="1.71"/>
        <n v="1.67"/>
        <n v="1.37"/>
        <n v="5.16"/>
        <n v="4.0999999999999996"/>
        <n v="3.09"/>
        <n v="3"/>
        <n v="2.63"/>
        <n v="2.4900000000000002"/>
        <n v="2.4"/>
        <n v="2.17"/>
        <n v="2.0699999999999998"/>
        <n v="1.98"/>
        <n v="1.94"/>
        <n v="1.61"/>
        <n v="1.57"/>
        <n v="1.38"/>
        <n v="8.11"/>
        <n v="4.5599999999999996"/>
        <n v="4.05"/>
        <n v="3.8"/>
        <n v="2.87"/>
        <n v="2.7"/>
        <n v="2.0299999999999998"/>
        <n v="1.86"/>
        <n v="1.77"/>
        <n v="1.69"/>
        <n v="1.52"/>
        <n v="1.35"/>
        <n v="1.27"/>
        <n v="3.57"/>
        <n v="3.3"/>
        <n v="3.12"/>
        <n v="3.03"/>
        <n v="2.85"/>
        <n v="2.5"/>
        <n v="2.14"/>
        <n v="5.35"/>
        <n v="4.22"/>
        <n v="3.43"/>
        <n v="3.19"/>
        <n v="2.65"/>
        <n v="2.4500000000000002"/>
        <n v="1.81"/>
        <n v="9.68"/>
        <n v="4.91"/>
        <n v="3.4"/>
        <n v="2.33"/>
        <n v="1.9"/>
        <n v="1.8"/>
        <n v="1.51"/>
        <n v="1.48"/>
        <n v="1.45"/>
        <n v="1.22"/>
        <n v="1.19"/>
        <n v="1.18"/>
        <n v="1.1599999999999999"/>
        <n v="4.99"/>
        <n v="4.58"/>
        <n v="3.34"/>
        <n v="3.14"/>
        <n v="3.11"/>
        <n v="2.89"/>
        <n v="2.5499999999999998"/>
        <n v="1.84"/>
        <n v="1.72"/>
        <n v="1.39"/>
        <n v="1.31"/>
        <n v="6.17"/>
        <n v="3.92"/>
        <n v="3.65"/>
        <n v="3.32"/>
        <n v="2.99"/>
        <n v="2.39"/>
        <n v="2.3199999999999998"/>
        <n v="2.06"/>
        <n v="1.73"/>
        <n v="1.46"/>
        <n v="5.82"/>
        <n v="4.09"/>
        <n v="3.42"/>
        <n v="3.07"/>
        <n v="2.12"/>
        <n v="5.22"/>
        <n v="5.1100000000000003"/>
        <n v="3.51"/>
        <n v="3.49"/>
        <n v="3.45"/>
        <n v="3.16"/>
        <n v="2.04"/>
        <n v="1.58"/>
        <n v="1.23"/>
        <n v="1.1399999999999999"/>
        <n v="3.74"/>
        <n v="3.31"/>
        <n v="3.05"/>
        <n v="2.4700000000000002"/>
        <n v="1.89"/>
        <n v="1.85"/>
        <n v="6.7"/>
        <n v="5.27"/>
        <n v="3.13"/>
        <n v="3.02"/>
        <n v="2.31"/>
        <n v="2.25"/>
        <n v="1.65"/>
        <n v="3.35"/>
        <n v="3.08"/>
        <n v="2.29"/>
        <n v="2.09"/>
        <n v="1.82"/>
        <n v="6.01"/>
        <n v="3.78"/>
        <n v="3.21"/>
        <n v="2.72"/>
        <n v="1.99"/>
        <n v="1.79"/>
        <n v="1.3"/>
        <n v="5.28"/>
        <n v="4.4400000000000004"/>
        <n v="4.13"/>
        <n v="3.91"/>
        <n v="3.37"/>
        <n v="2.83"/>
        <n v="2.5299999999999998"/>
        <n v="2.2200000000000002"/>
        <n v="5.79"/>
        <n v="3.88"/>
        <n v="3.71"/>
        <n v="3.15"/>
        <n v="2.2999999999999998"/>
        <n v="1.91"/>
        <n v="7.96"/>
        <n v="4.9800000000000004"/>
        <n v="3.86"/>
        <n v="3.27"/>
        <n v="2.93"/>
        <n v="2"/>
        <n v="4.93"/>
        <n v="2.4300000000000002"/>
        <n v="2.19"/>
        <n v="7.22"/>
        <n v="4.76"/>
        <n v="4.04"/>
        <n v="3.46"/>
        <n v="5.43"/>
        <n v="4.29"/>
        <n v="3.1"/>
        <n v="2.92"/>
        <n v="2.23"/>
        <n v="6"/>
        <n v="6.04"/>
        <n v="4.0599999999999996"/>
        <n v="3.98"/>
        <n v="3.47"/>
        <n v="3.23"/>
        <n v="2.88"/>
        <n v="2.0099999999999998"/>
        <n v="5.6"/>
        <n v="4.7699999999999996"/>
        <n v="4.3499999999999996"/>
        <n v="3.69"/>
        <n v="2.56"/>
        <n v="6.43"/>
        <n v="4.84"/>
        <n v="3.96"/>
        <n v="3.61"/>
        <n v="2.46"/>
        <n v="2.38"/>
        <n v="5.0999999999999996"/>
        <n v="2.8"/>
        <n v="7.72"/>
        <n v="5.88"/>
        <n v="5.15"/>
        <n v="4.42"/>
        <n v="4.25"/>
        <n v="2.69"/>
        <n v="2.13"/>
        <n v="5.85"/>
        <n v="3.93"/>
        <n v="3.26"/>
        <n v="1.1499999999999999"/>
        <n v="7.54"/>
        <n v="3.48"/>
        <n v="2.71"/>
        <n v="2.66"/>
        <n v="2.42"/>
        <n v="2.27"/>
        <n v="2.08"/>
        <n v="1.21"/>
        <n v="1.1100000000000001"/>
        <n v="5.77"/>
        <n v="3.55"/>
        <n v="3.28"/>
        <n v="5.0599999999999996"/>
        <n v="4.49"/>
        <n v="3.18"/>
        <n v="2.86"/>
        <n v="2.37"/>
        <n v="2.64"/>
        <n v="5.59"/>
        <n v="3.84"/>
        <n v="3.38"/>
        <n v="2.79"/>
        <n v="2.68"/>
        <n v="1.28"/>
        <n v="5.95"/>
        <n v="5.53"/>
        <n v="4.2699999999999996"/>
        <n v="2.76"/>
        <n v="6.68"/>
        <n v="5.09"/>
        <n v="4.1399999999999997"/>
        <n v="3.82"/>
        <n v="3.29"/>
        <n v="2.44"/>
        <n v="4.92"/>
        <n v="4.47"/>
        <n v="2.94"/>
        <n v="4.01"/>
        <n v="1.05"/>
        <n v="5.97"/>
        <n v="3.2"/>
        <n v="2.77"/>
        <n v="2.67"/>
        <n v="5.61"/>
        <n v="4.96"/>
        <n v="3.72"/>
        <n v="2.98"/>
        <n v="2.73"/>
        <n v="1.24"/>
        <n v="5.73"/>
        <n v="3.94"/>
        <n v="2.5099999999999998"/>
        <n v="4.8"/>
        <n v="4"/>
        <n v="4.6900000000000004"/>
        <n v="4.46"/>
        <n v="3.76"/>
        <n v="3.52"/>
        <n v="1.88"/>
        <n v="1.17"/>
        <n v="8.81"/>
        <n v="6.29"/>
        <n v="5.66"/>
        <n v="4.4000000000000004"/>
        <n v="2.52"/>
        <n v="6.48"/>
        <n v="6.02"/>
        <n v="3.7"/>
        <n v="3.01"/>
        <n v="2.78"/>
        <n v="4.8499999999999996"/>
        <n v="2.91"/>
        <n v="6.05"/>
        <n v="4.54"/>
        <n v="2.84"/>
        <n v="7.27"/>
        <n v="5.52"/>
        <n v="2.62"/>
        <n v="6.82"/>
        <n v="6.06"/>
        <n v="5.3"/>
        <n v="4.55"/>
        <n v="3.79"/>
        <n v="7.26"/>
        <n v="6.41"/>
        <n v="5.98"/>
        <n v="4.7"/>
        <n v="3.85"/>
        <n v="5.41"/>
        <n v="4.95"/>
        <n v="4.5"/>
        <n v="3.6"/>
        <n v="4.03"/>
        <n v="6.38"/>
        <n v="4.79"/>
        <n v="4.26"/>
        <n v="4.17"/>
        <n v="2.2400000000000002"/>
        <n v="8.3699999999999992"/>
        <n v="5.29"/>
        <n v="4.41"/>
        <n v="3.36"/>
        <n v="2.1"/>
      </sharedItems>
    </cacheField>
    <cacheField name="総数（個人）" numFmtId="0" sqlType="4">
      <sharedItems containsSemiMixedTypes="0" containsString="0" containsNumber="1" containsInteger="1" minValue="0" maxValue="4414" count="161">
        <n v="4414"/>
        <n v="1754"/>
        <n v="3310"/>
        <n v="2208"/>
        <n v="2556"/>
        <n v="2144"/>
        <n v="1483"/>
        <n v="878"/>
        <n v="347"/>
        <n v="211"/>
        <n v="166"/>
        <n v="684"/>
        <n v="542"/>
        <n v="894"/>
        <n v="908"/>
        <n v="33"/>
        <n v="175"/>
        <n v="152"/>
        <n v="278"/>
        <n v="188"/>
        <n v="316"/>
        <n v="516"/>
        <n v="397"/>
        <n v="263"/>
        <n v="199"/>
        <n v="159"/>
        <n v="26"/>
        <n v="8"/>
        <n v="93"/>
        <n v="20"/>
        <n v="4"/>
        <n v="6"/>
        <n v="193"/>
        <n v="5"/>
        <n v="96"/>
        <n v="36"/>
        <n v="84"/>
        <n v="40"/>
        <n v="157"/>
        <n v="160"/>
        <n v="87"/>
        <n v="121"/>
        <n v="9"/>
        <n v="90"/>
        <n v="18"/>
        <n v="82"/>
        <n v="42"/>
        <n v="47"/>
        <n v="2"/>
        <n v="24"/>
        <n v="14"/>
        <n v="61"/>
        <n v="3"/>
        <n v="0"/>
        <n v="34"/>
        <n v="71"/>
        <n v="85"/>
        <n v="68"/>
        <n v="38"/>
        <n v="1"/>
        <n v="11"/>
        <n v="28"/>
        <n v="22"/>
        <n v="32"/>
        <n v="21"/>
        <n v="80"/>
        <n v="74"/>
        <n v="59"/>
        <n v="57"/>
        <n v="27"/>
        <n v="15"/>
        <n v="97"/>
        <n v="10"/>
        <n v="30"/>
        <n v="37"/>
        <n v="19"/>
        <n v="76"/>
        <n v="44"/>
        <n v="17"/>
        <n v="16"/>
        <n v="7"/>
        <n v="23"/>
        <n v="105"/>
        <n v="81"/>
        <n v="55"/>
        <n v="50"/>
        <n v="25"/>
        <n v="13"/>
        <n v="265"/>
        <n v="256"/>
        <n v="149"/>
        <n v="140"/>
        <n v="162"/>
        <n v="102"/>
        <n v="72"/>
        <n v="107"/>
        <n v="53"/>
        <n v="95"/>
        <n v="12"/>
        <n v="312"/>
        <n v="242"/>
        <n v="195"/>
        <n v="219"/>
        <n v="173"/>
        <n v="130"/>
        <n v="64"/>
        <n v="114"/>
        <n v="109"/>
        <n v="58"/>
        <n v="91"/>
        <n v="51"/>
        <n v="54"/>
        <n v="49"/>
        <n v="35"/>
        <n v="145"/>
        <n v="108"/>
        <n v="31"/>
        <n v="41"/>
        <n v="154"/>
        <n v="317"/>
        <n v="236"/>
        <n v="231"/>
        <n v="209"/>
        <n v="183"/>
        <n v="139"/>
        <n v="52"/>
        <n v="63"/>
        <n v="104"/>
        <n v="100"/>
        <n v="56"/>
        <n v="45"/>
        <n v="103"/>
        <n v="79"/>
        <n v="46"/>
        <n v="70"/>
        <n v="123"/>
        <n v="86"/>
        <n v="62"/>
        <n v="29"/>
        <n v="73"/>
        <n v="67"/>
        <n v="39"/>
        <n v="69"/>
        <n v="66"/>
        <n v="235"/>
        <n v="169"/>
        <n v="124"/>
        <n v="134"/>
        <n v="48"/>
        <n v="200"/>
        <n v="176"/>
        <n v="117"/>
        <n v="43"/>
        <n v="118"/>
        <n v="94"/>
        <n v="65"/>
        <n v="133"/>
        <n v="98"/>
        <n v="60"/>
        <n v="89"/>
        <n v="83"/>
      </sharedItems>
    </cacheField>
    <cacheField name="構成比（個人）" numFmtId="0" sqlType="3">
      <sharedItems containsSemiMixedTypes="0" containsString="0" containsNumber="1" minValue="0" maxValue="17.97" count="547">
        <n v="10.38"/>
        <n v="4.12"/>
        <n v="7.78"/>
        <n v="5.19"/>
        <n v="6.01"/>
        <n v="5.04"/>
        <n v="3.49"/>
        <n v="2.06"/>
        <n v="0.82"/>
        <n v="0.5"/>
        <n v="0.39"/>
        <n v="1.61"/>
        <n v="1.27"/>
        <n v="2.1"/>
        <n v="2.13"/>
        <n v="0.08"/>
        <n v="0.41"/>
        <n v="0.36"/>
        <n v="0.65"/>
        <n v="0.44"/>
        <n v="7.27"/>
        <n v="11.86"/>
        <n v="9.1300000000000008"/>
        <n v="6.05"/>
        <n v="4.58"/>
        <n v="3.66"/>
        <n v="4.8499999999999996"/>
        <n v="0.6"/>
        <n v="0.76"/>
        <n v="0.18"/>
        <n v="2.14"/>
        <n v="0.46"/>
        <n v="0.09"/>
        <n v="0.14000000000000001"/>
        <n v="4.4400000000000004"/>
        <n v="0.11"/>
        <n v="2.21"/>
        <n v="0.83"/>
        <n v="1.93"/>
        <n v="0.92"/>
        <n v="9.7200000000000006"/>
        <n v="9.91"/>
        <n v="5.39"/>
        <n v="7.49"/>
        <n v="0.56000000000000005"/>
        <n v="5.57"/>
        <n v="1.1100000000000001"/>
        <n v="5.76"/>
        <n v="5.08"/>
        <n v="2.6"/>
        <n v="0.25"/>
        <n v="2.91"/>
        <n v="0.12"/>
        <n v="1.49"/>
        <n v="0.87"/>
        <n v="3.78"/>
        <n v="0.19"/>
        <n v="0"/>
        <n v="2.11"/>
        <n v="9.56"/>
        <n v="11.44"/>
        <n v="9.15"/>
        <n v="0.27"/>
        <n v="0.81"/>
        <n v="5.1100000000000003"/>
        <n v="0.13"/>
        <n v="1.48"/>
        <n v="3.77"/>
        <n v="1.08"/>
        <n v="2.96"/>
        <n v="1.88"/>
        <n v="3.5"/>
        <n v="4.3099999999999996"/>
        <n v="2.83"/>
        <n v="0.67"/>
        <n v="11.33"/>
        <n v="10.48"/>
        <n v="8.36"/>
        <n v="8.07"/>
        <n v="4.67"/>
        <n v="3.82"/>
        <n v="5.0999999999999996"/>
        <n v="0.28000000000000003"/>
        <n v="0.71"/>
        <n v="0.42"/>
        <n v="1.56"/>
        <n v="2.12"/>
        <n v="0.56999999999999995"/>
        <n v="14.24"/>
        <n v="12.33"/>
        <n v="0.28999999999999998"/>
        <n v="0.59"/>
        <n v="0.15"/>
        <n v="1.47"/>
        <n v="6.17"/>
        <n v="3.23"/>
        <n v="4.41"/>
        <n v="0.73"/>
        <n v="5.43"/>
        <n v="2.2000000000000002"/>
        <n v="0.88"/>
        <n v="1.32"/>
        <n v="2.79"/>
        <n v="17.97"/>
        <n v="10.4"/>
        <n v="7.09"/>
        <n v="7.8"/>
        <n v="0.95"/>
        <n v="4.0199999999999996"/>
        <n v="4.26"/>
        <n v="1.18"/>
        <n v="0.24"/>
        <n v="1.65"/>
        <n v="1.42"/>
        <n v="1.66"/>
        <n v="13.26"/>
        <n v="12.71"/>
        <n v="4.42"/>
        <n v="0.55000000000000004"/>
        <n v="3.31"/>
        <n v="7.73"/>
        <n v="3.87"/>
        <n v="9.39"/>
        <n v="8.25"/>
        <n v="6.36"/>
        <n v="4.79"/>
        <n v="4.32"/>
        <n v="3.93"/>
        <n v="3.14"/>
        <n v="1.96"/>
        <n v="1.89"/>
        <n v="0.86"/>
        <n v="2.36"/>
        <n v="1.26"/>
        <n v="1.57"/>
        <n v="1.34"/>
        <n v="1.02"/>
        <n v="0.63"/>
        <n v="10.67"/>
        <n v="10.31"/>
        <n v="0.32"/>
        <n v="6"/>
        <n v="5.64"/>
        <n v="6.52"/>
        <n v="4.1100000000000003"/>
        <n v="2.9"/>
        <n v="0.16"/>
        <n v="0.4"/>
        <n v="2.46"/>
        <n v="0.52"/>
        <n v="0.48"/>
        <n v="0.2"/>
        <n v="10.51"/>
        <n v="2.86"/>
        <n v="8.15"/>
        <n v="6.57"/>
        <n v="7.37"/>
        <n v="5.82"/>
        <n v="4.38"/>
        <n v="2.15"/>
        <n v="0.1"/>
        <n v="0.34"/>
        <n v="0.64"/>
        <n v="3.84"/>
        <n v="3.67"/>
        <n v="1.95"/>
        <n v="0.03"/>
        <n v="0.3"/>
        <n v="0.77"/>
        <n v="10.09"/>
        <n v="5.65"/>
        <n v="6.32"/>
        <n v="5.99"/>
        <n v="3.88"/>
        <n v="2.99"/>
        <n v="2.5499999999999998"/>
        <n v="2"/>
        <n v="1.22"/>
        <n v="2.88"/>
        <n v="1.44"/>
        <n v="1.33"/>
        <n v="2.2200000000000002"/>
        <n v="1"/>
        <n v="12.21"/>
        <n v="9.09"/>
        <n v="7.58"/>
        <n v="5.13"/>
        <n v="1.0900000000000001"/>
        <n v="2.61"/>
        <n v="4.55"/>
        <n v="1.01"/>
        <n v="3.96"/>
        <n v="3.03"/>
        <n v="2.5299999999999998"/>
        <n v="3.45"/>
        <n v="2.19"/>
        <n v="5.12"/>
        <n v="10.55"/>
        <n v="7.85"/>
        <n v="7.68"/>
        <n v="6.95"/>
        <n v="6.09"/>
        <n v="4.62"/>
        <n v="1.73"/>
        <n v="0.7"/>
        <n v="0.33"/>
        <n v="1.83"/>
        <n v="2.66"/>
        <n v="0.17"/>
        <n v="0.43"/>
        <n v="9"/>
        <n v="8.66"/>
        <n v="4.76"/>
        <n v="1.99"/>
        <n v="2.68"/>
        <n v="3.9"/>
        <n v="2.94"/>
        <n v="0.26"/>
        <n v="1.9"/>
        <n v="2.34"/>
        <n v="2.08"/>
        <n v="11.21"/>
        <n v="9.7899999999999991"/>
        <n v="8.6"/>
        <n v="5.01"/>
        <n v="0.22"/>
        <n v="2.29"/>
        <n v="1.31"/>
        <n v="1.85"/>
        <n v="1.74"/>
        <n v="2.5"/>
        <n v="0.54"/>
        <n v="11.92"/>
        <n v="2.4500000000000002"/>
        <n v="5.68"/>
        <n v="5.79"/>
        <n v="0.45"/>
        <n v="4.9000000000000004"/>
        <n v="3.56"/>
        <n v="0.78"/>
        <n v="0.89"/>
        <n v="1.67"/>
        <n v="2.23"/>
        <n v="12.04"/>
        <n v="8.41"/>
        <n v="1.86"/>
        <n v="6.26"/>
        <n v="5.97"/>
        <n v="0.98"/>
        <n v="2.35"/>
        <n v="1.17"/>
        <n v="0.49"/>
        <n v="2.54"/>
        <n v="9.98"/>
        <n v="8.6999999999999993"/>
        <n v="8.2100000000000009"/>
        <n v="4.3499999999999996"/>
        <n v="4.99"/>
        <n v="4.03"/>
        <n v="0.97"/>
        <n v="2.42"/>
        <n v="3.22"/>
        <n v="2.25"/>
        <n v="6.44"/>
        <n v="5.91"/>
        <n v="3.35"/>
        <n v="4.5"/>
        <n v="3.44"/>
        <n v="3.62"/>
        <n v="1.59"/>
        <n v="1.77"/>
        <n v="2.4700000000000002"/>
        <n v="8.18"/>
        <n v="10.19"/>
        <n v="8.5299999999999994"/>
        <n v="7.82"/>
        <n v="5.92"/>
        <n v="5.45"/>
        <n v="4.8600000000000003"/>
        <n v="2.4900000000000002"/>
        <n v="1.54"/>
        <n v="1.78"/>
        <n v="10.220000000000001"/>
        <n v="3.52"/>
        <n v="7.35"/>
        <n v="6.96"/>
        <n v="5.83"/>
        <n v="0.61"/>
        <n v="0.74"/>
        <n v="1.35"/>
        <n v="10.039999999999999"/>
        <n v="6.69"/>
        <n v="5.86"/>
        <n v="4.8099999999999996"/>
        <n v="2.93"/>
        <n v="1.05"/>
        <n v="2.2999999999999998"/>
        <n v="1.46"/>
        <n v="12.55"/>
        <n v="11.04"/>
        <n v="0.94"/>
        <n v="6.84"/>
        <n v="7.34"/>
        <n v="0.31"/>
        <n v="5.0199999999999996"/>
        <n v="1.94"/>
        <n v="2.57"/>
        <n v="2.7"/>
        <n v="2.82"/>
        <n v="0.38"/>
        <n v="0.06"/>
        <n v="13.01"/>
        <n v="6.28"/>
        <n v="5.95"/>
        <n v="6.06"/>
        <n v="4.5199999999999996"/>
        <n v="5.4"/>
        <n v="2.4300000000000002"/>
        <n v="2.3199999999999998"/>
        <n v="3.2"/>
        <n v="11.8"/>
        <n v="7.99"/>
        <n v="8.94"/>
        <n v="6.18"/>
        <n v="5.9"/>
        <n v="5.61"/>
        <n v="1.71"/>
        <n v="4"/>
        <n v="1.52"/>
        <n v="3.43"/>
        <n v="10.57"/>
        <n v="8.19"/>
        <n v="6.34"/>
        <n v="7.66"/>
        <n v="4.49"/>
        <n v="2.77"/>
        <n v="4.2300000000000004"/>
        <n v="2.38"/>
        <n v="1.06"/>
        <n v="2.64"/>
        <n v="0.66"/>
        <n v="8.3000000000000007"/>
        <n v="6.87"/>
        <n v="6.58"/>
        <n v="6.15"/>
        <n v="5.58"/>
        <n v="3.29"/>
        <n v="3"/>
        <n v="1.29"/>
        <n v="1.72"/>
        <n v="10.15"/>
        <n v="9.08"/>
        <n v="8"/>
        <n v="6.31"/>
        <n v="6.62"/>
        <n v="0.62"/>
        <n v="1.23"/>
        <n v="2.62"/>
        <n v="13.64"/>
        <n v="10.050000000000001"/>
        <n v="6.67"/>
        <n v="3.79"/>
        <n v="0.72"/>
        <n v="1.1299999999999999"/>
        <n v="3.28"/>
        <n v="1.64"/>
        <n v="0.51"/>
        <n v="10.07"/>
        <n v="8.02"/>
        <n v="5.46"/>
        <n v="1.19"/>
        <n v="2.56"/>
        <n v="4.0999999999999996"/>
        <n v="3.07"/>
        <n v="0.68"/>
        <n v="2.0499999999999998"/>
        <n v="0.85"/>
        <n v="1.37"/>
        <n v="10.08"/>
        <n v="8.3699999999999992"/>
        <n v="7.79"/>
        <n v="5.32"/>
        <n v="7.22"/>
        <n v="2.85"/>
        <n v="3.04"/>
        <n v="1.1399999999999999"/>
        <n v="13.32"/>
        <n v="6.13"/>
        <n v="6.98"/>
        <n v="0.21"/>
        <n v="2.33"/>
        <n v="2.75"/>
        <n v="1.69"/>
        <n v="12.35"/>
        <n v="5.33"/>
        <n v="8.23"/>
        <n v="7.75"/>
        <n v="4.84"/>
        <n v="3.15"/>
        <n v="2.1800000000000002"/>
        <n v="4.3600000000000003"/>
        <n v="10.76"/>
        <n v="6.65"/>
        <n v="0.79"/>
        <n v="4.43"/>
        <n v="5.22"/>
        <n v="3.01"/>
        <n v="0.47"/>
        <n v="2.37"/>
        <n v="9.57"/>
        <n v="3.4"/>
        <n v="4.04"/>
        <n v="3.19"/>
        <n v="4.68"/>
        <n v="1.7"/>
        <n v="1.28"/>
        <n v="2.98"/>
        <n v="1.87"/>
        <n v="5.6"/>
        <n v="8.58"/>
        <n v="0.75"/>
        <n v="3.73"/>
        <n v="1.1200000000000001"/>
        <n v="0.37"/>
        <n v="12.27"/>
        <n v="5.87"/>
        <n v="6.93"/>
        <n v="2.67"/>
        <n v="4.8"/>
        <n v="0.8"/>
        <n v="3.47"/>
        <n v="0.53"/>
        <n v="1.07"/>
        <n v="7.51"/>
        <n v="7.76"/>
        <n v="6.49"/>
        <n v="3.94"/>
        <n v="3.18"/>
        <n v="2.8"/>
        <n v="2.16"/>
        <n v="1.91"/>
        <n v="1.53"/>
        <n v="10.66"/>
        <n v="5.15"/>
        <n v="3.91"/>
        <n v="4.09"/>
        <n v="3.37"/>
        <n v="1.6"/>
        <n v="3.55"/>
        <n v="7.16"/>
        <n v="2.76"/>
        <n v="4.75"/>
        <n v="3.71"/>
        <n v="3.11"/>
        <n v="1.55"/>
        <n v="1.98"/>
        <n v="1.21"/>
        <n v="2.0699999999999998"/>
        <n v="9.27"/>
        <n v="7.97"/>
        <n v="3.02"/>
        <n v="1.51"/>
        <n v="9.8000000000000007"/>
        <n v="7.08"/>
        <n v="4.54"/>
        <n v="3.99"/>
        <n v="1.81"/>
        <n v="3.27"/>
        <n v="3.09"/>
        <n v="10.49"/>
        <n v="7.07"/>
        <n v="4.63"/>
        <n v="4.1500000000000004"/>
        <n v="10.47"/>
        <n v="5.81"/>
        <n v="1.1599999999999999"/>
        <n v="8.7200000000000006"/>
        <n v="0.57999999999999996"/>
        <n v="5.23"/>
        <n v="4.07"/>
        <n v="9.85"/>
        <n v="10.61"/>
        <n v="5.3"/>
        <n v="2.27"/>
        <n v="7.14"/>
        <n v="3.57"/>
        <n v="7.55"/>
        <n v="4.53"/>
        <n v="5.66"/>
        <n v="4.91"/>
        <n v="2.2599999999999998"/>
        <n v="11.3"/>
        <n v="8.26"/>
        <n v="7.83"/>
        <n v="4.78"/>
        <n v="3.48"/>
        <n v="2.17"/>
        <n v="1.3"/>
        <n v="10.98"/>
        <n v="6.91"/>
        <n v="1.63"/>
        <n v="6.1"/>
        <n v="4.88"/>
        <n v="3.25"/>
        <n v="2.0299999999999998"/>
        <n v="2.44"/>
        <n v="10.130000000000001"/>
        <n v="7.52"/>
        <n v="3.59"/>
        <n v="3.92"/>
        <n v="11.32"/>
        <n v="3.3"/>
        <n v="11.54"/>
        <n v="6.41"/>
        <n v="8.9700000000000006"/>
        <n v="3.85"/>
        <n v="11.45"/>
        <n v="9.92"/>
        <n v="8.4"/>
        <n v="6.11"/>
        <n v="3.05"/>
        <n v="9.84"/>
        <n v="9.02"/>
        <n v="4.92"/>
        <n v="10"/>
        <n v="8.57"/>
        <n v="5.71"/>
        <n v="1.43"/>
        <n v="4.29"/>
        <n v="11.11"/>
        <n v="8.33"/>
        <n v="7.41"/>
        <n v="3.7"/>
        <n v="5.56"/>
        <n v="2.78"/>
        <n v="0.93"/>
        <n v="7.91"/>
        <n v="3.39"/>
        <n v="11.27"/>
        <n v="7.04"/>
        <n v="1.41"/>
        <n v="7.38"/>
        <n v="6.04"/>
        <n v="4.7"/>
        <n v="5.37"/>
        <n v="3.36"/>
        <n v="2.0099999999999998"/>
      </sharedItems>
    </cacheField>
    <cacheField name="総数（法人）" numFmtId="0" sqlType="4">
      <sharedItems containsSemiMixedTypes="0" containsString="0" containsNumber="1" containsInteger="1" minValue="0" maxValue="2632" count="146">
        <n v="784"/>
        <n v="2632"/>
        <n v="298"/>
        <n v="704"/>
        <n v="269"/>
        <n v="443"/>
        <n v="707"/>
        <n v="891"/>
        <n v="1344"/>
        <n v="1455"/>
        <n v="1486"/>
        <n v="944"/>
        <n v="1021"/>
        <n v="660"/>
        <n v="633"/>
        <n v="1408"/>
        <n v="1258"/>
        <n v="1211"/>
        <n v="1038"/>
        <n v="1144"/>
        <n v="412"/>
        <n v="131"/>
        <n v="52"/>
        <n v="65"/>
        <n v="111"/>
        <n v="50"/>
        <n v="232"/>
        <n v="222"/>
        <n v="240"/>
        <n v="138"/>
        <n v="211"/>
        <n v="210"/>
        <n v="208"/>
        <n v="14"/>
        <n v="201"/>
        <n v="103"/>
        <n v="153"/>
        <n v="102"/>
        <n v="145"/>
        <n v="132"/>
        <n v="41"/>
        <n v="54"/>
        <n v="10"/>
        <n v="117"/>
        <n v="25"/>
        <n v="88"/>
        <n v="12"/>
        <n v="19"/>
        <n v="55"/>
        <n v="74"/>
        <n v="27"/>
        <n v="66"/>
        <n v="44"/>
        <n v="42"/>
        <n v="2"/>
        <n v="60"/>
        <n v="57"/>
        <n v="58"/>
        <n v="24"/>
        <n v="80"/>
        <n v="47"/>
        <n v="8"/>
        <n v="43"/>
        <n v="33"/>
        <n v="32"/>
        <n v="4"/>
        <n v="17"/>
        <n v="37"/>
        <n v="11"/>
        <n v="3"/>
        <n v="31"/>
        <n v="83"/>
        <n v="23"/>
        <n v="13"/>
        <n v="5"/>
        <n v="45"/>
        <n v="18"/>
        <n v="35"/>
        <n v="15"/>
        <n v="26"/>
        <n v="62"/>
        <n v="53"/>
        <n v="9"/>
        <n v="38"/>
        <n v="22"/>
        <n v="36"/>
        <n v="30"/>
        <n v="34"/>
        <n v="21"/>
        <n v="20"/>
        <n v="1"/>
        <n v="376"/>
        <n v="69"/>
        <n v="216"/>
        <n v="49"/>
        <n v="63"/>
        <n v="99"/>
        <n v="68"/>
        <n v="79"/>
        <n v="67"/>
        <n v="73"/>
        <n v="72"/>
        <n v="90"/>
        <n v="284"/>
        <n v="28"/>
        <n v="59"/>
        <n v="61"/>
        <n v="75"/>
        <n v="189"/>
        <n v="85"/>
        <n v="135"/>
        <n v="128"/>
        <n v="112"/>
        <n v="64"/>
        <n v="113"/>
        <n v="114"/>
        <n v="48"/>
        <n v="7"/>
        <n v="51"/>
        <n v="39"/>
        <n v="6"/>
        <n v="16"/>
        <n v="235"/>
        <n v="29"/>
        <n v="151"/>
        <n v="146"/>
        <n v="109"/>
        <n v="91"/>
        <n v="100"/>
        <n v="96"/>
        <n v="84"/>
        <n v="46"/>
        <n v="0"/>
        <n v="94"/>
        <n v="40"/>
        <n v="154"/>
        <n v="148"/>
        <n v="127"/>
        <n v="89"/>
        <n v="78"/>
        <n v="86"/>
        <n v="140"/>
        <n v="126"/>
        <n v="93"/>
        <n v="56"/>
        <n v="139"/>
      </sharedItems>
    </cacheField>
    <cacheField name="構成比（法人）" numFmtId="0" sqlType="3">
      <sharedItems containsSemiMixedTypes="0" containsString="0" containsNumber="1" minValue="0" maxValue="12.75" count="384">
        <n v="1.37"/>
        <n v="4.58"/>
        <n v="0.52"/>
        <n v="1.23"/>
        <n v="0.47"/>
        <n v="0.77"/>
        <n v="1.55"/>
        <n v="2.34"/>
        <n v="2.5299999999999998"/>
        <n v="2.59"/>
        <n v="1.64"/>
        <n v="1.78"/>
        <n v="1.1499999999999999"/>
        <n v="1.1000000000000001"/>
        <n v="2.4500000000000002"/>
        <n v="2.19"/>
        <n v="2.11"/>
        <n v="1.81"/>
        <n v="1.99"/>
        <n v="4.6399999999999997"/>
        <n v="1.48"/>
        <n v="0.59"/>
        <n v="0.73"/>
        <n v="1.25"/>
        <n v="0.56000000000000005"/>
        <n v="2.62"/>
        <n v="2.5"/>
        <n v="2.71"/>
        <n v="1.56"/>
        <n v="2.38"/>
        <n v="2.37"/>
        <n v="0.16"/>
        <n v="2.27"/>
        <n v="1.1599999999999999"/>
        <n v="1.72"/>
        <n v="1.63"/>
        <n v="4.38"/>
        <n v="1.36"/>
        <n v="1.79"/>
        <n v="0.33"/>
        <n v="3.88"/>
        <n v="0.83"/>
        <n v="2.92"/>
        <n v="0.4"/>
        <n v="0.63"/>
        <n v="1.82"/>
        <n v="0.9"/>
        <n v="1.46"/>
        <n v="1.39"/>
        <n v="7.0000000000000007E-2"/>
        <n v="1.89"/>
        <n v="1.92"/>
        <n v="0.8"/>
        <n v="5.98"/>
        <n v="1.42"/>
        <n v="0.75"/>
        <n v="3.51"/>
        <n v="3.06"/>
        <n v="0.6"/>
        <n v="3.21"/>
        <n v="2.4700000000000002"/>
        <n v="1.05"/>
        <n v="2.39"/>
        <n v="0.3"/>
        <n v="1.27"/>
        <n v="2.77"/>
        <n v="0.82"/>
        <n v="0.22"/>
        <n v="2.02"/>
        <n v="2.3199999999999998"/>
        <n v="6.21"/>
        <n v="0.97"/>
        <n v="0.37"/>
        <n v="3.37"/>
        <n v="1.35"/>
        <n v="3.07"/>
        <n v="0.15"/>
        <n v="1.1200000000000001"/>
        <n v="1.87"/>
        <n v="1.95"/>
        <n v="1.01"/>
        <n v="0.34"/>
        <n v="4.18"/>
        <n v="3.57"/>
        <n v="3.5"/>
        <n v="2.83"/>
        <n v="0.61"/>
        <n v="1.68"/>
        <n v="2.56"/>
        <n v="2.42"/>
        <n v="2.36"/>
        <n v="2.29"/>
        <n v="1.41"/>
        <n v="0.74"/>
        <n v="2.64"/>
        <n v="1.32"/>
        <n v="1.58"/>
        <n v="3.95"/>
        <n v="1.98"/>
        <n v="3.03"/>
        <n v="0.66"/>
        <n v="0.26"/>
        <n v="1.84"/>
        <n v="1.71"/>
        <n v="1.19"/>
        <n v="3.94"/>
        <n v="1.28"/>
        <n v="3.62"/>
        <n v="2.88"/>
        <n v="2.13"/>
        <n v="2.2400000000000002"/>
        <n v="0.85"/>
        <n v="1.49"/>
        <n v="0.43"/>
        <n v="2.0299999999999998"/>
        <n v="0.53"/>
        <n v="2.25"/>
        <n v="0.13"/>
        <n v="3.05"/>
        <n v="1.85"/>
        <n v="2.65"/>
        <n v="9.18"/>
        <n v="1.69"/>
        <n v="5.28"/>
        <n v="1.2"/>
        <n v="0.28999999999999998"/>
        <n v="1.54"/>
        <n v="0.2"/>
        <n v="2.15"/>
        <n v="1.66"/>
        <n v="1.93"/>
        <n v="1.76"/>
        <n v="5.64"/>
        <n v="1.17"/>
        <n v="0.64"/>
        <n v="1.21"/>
        <n v="3.76"/>
        <n v="2.68"/>
        <n v="2.54"/>
        <n v="2.23"/>
        <n v="2.0499999999999998"/>
        <n v="0.68"/>
        <n v="0.95"/>
        <n v="0.17"/>
        <n v="1.53"/>
        <n v="2.2000000000000002"/>
        <n v="1.86"/>
        <n v="1.22"/>
        <n v="0.49"/>
        <n v="1.59"/>
        <n v="3.12"/>
        <n v="2.94"/>
        <n v="3"/>
        <n v="0.98"/>
        <n v="2.57"/>
        <n v="0.06"/>
        <n v="0.92"/>
        <n v="1.96"/>
        <n v="5.31"/>
        <n v="1.45"/>
        <n v="0.65"/>
        <n v="1.08"/>
        <n v="1.29"/>
        <n v="3.41"/>
        <n v="3.3"/>
        <n v="1.51"/>
        <n v="2.46"/>
        <n v="2.06"/>
        <n v="2.2599999999999998"/>
        <n v="2.17"/>
        <n v="0.27"/>
        <n v="1.9"/>
        <n v="0.19"/>
        <n v="3.47"/>
        <n v="0.57999999999999996"/>
        <n v="2.95"/>
        <n v="0.45"/>
        <n v="1.0900000000000001"/>
        <n v="2.89"/>
        <n v="2.1800000000000002"/>
        <n v="1.73"/>
        <n v="0.51"/>
        <n v="0.67"/>
        <n v="4.04"/>
        <n v="3.93"/>
        <n v="3.59"/>
        <n v="1.57"/>
        <n v="2.58"/>
        <n v="0"/>
        <n v="1.8"/>
        <n v="1.06"/>
        <n v="0.5"/>
        <n v="0.38"/>
        <n v="0.81"/>
        <n v="1.38"/>
        <n v="2"/>
        <n v="1.75"/>
        <n v="1.94"/>
        <n v="0.88"/>
        <n v="4.12"/>
        <n v="1.33"/>
        <n v="0.91"/>
        <n v="1.61"/>
        <n v="0.42"/>
        <n v="2.86"/>
        <n v="2.09"/>
        <n v="2.2999999999999998"/>
        <n v="0.84"/>
        <n v="2.5099999999999998"/>
        <n v="1.47"/>
        <n v="3.63"/>
        <n v="3.17"/>
        <n v="0.32"/>
        <n v="4.53"/>
        <n v="1.1299999999999999"/>
        <n v="2.75"/>
        <n v="5.18"/>
        <n v="2.4300000000000002"/>
        <n v="3.72"/>
        <n v="1.62"/>
        <n v="2.91"/>
        <n v="7.86"/>
        <n v="1.34"/>
        <n v="1.67"/>
        <n v="3.34"/>
        <n v="3.18"/>
        <n v="3.73"/>
        <n v="3.2"/>
        <n v="2.12"/>
        <n v="1.26"/>
        <n v="1.43"/>
        <n v="0.48"/>
        <n v="3.33"/>
        <n v="5.24"/>
        <n v="3.81"/>
        <n v="5.03"/>
        <n v="4.5199999999999996"/>
        <n v="0.39"/>
        <n v="3.66"/>
        <n v="1.97"/>
        <n v="1.4"/>
        <n v="0.86"/>
        <n v="2.0099999999999998"/>
        <n v="1.65"/>
        <n v="4.6100000000000003"/>
        <n v="0.96"/>
        <n v="0.55000000000000004"/>
        <n v="0.21"/>
        <n v="0.62"/>
        <n v="1.44"/>
        <n v="1.31"/>
        <n v="2.16"/>
        <n v="7.21"/>
        <n v="0.44"/>
        <n v="3.28"/>
        <n v="0.76"/>
        <n v="2.0699999999999998"/>
        <n v="2.73"/>
        <n v="0.71"/>
        <n v="0.94"/>
        <n v="3.46"/>
        <n v="3.15"/>
        <n v="2.52"/>
        <n v="2.41"/>
        <n v="2.1"/>
        <n v="6.63"/>
        <n v="4.63"/>
        <n v="2.63"/>
        <n v="3.25"/>
        <n v="0.89"/>
        <n v="2.44"/>
        <n v="3.99"/>
        <n v="1.77"/>
        <n v="1.1100000000000001"/>
        <n v="4.66"/>
        <n v="3.1"/>
        <n v="2.66"/>
        <n v="9.0299999999999994"/>
        <n v="3.38"/>
        <n v="1.3"/>
        <n v="2.08"/>
        <n v="1.88"/>
        <n v="1.04"/>
        <n v="5.14"/>
        <n v="4.45"/>
        <n v="0.23"/>
        <n v="3.65"/>
        <n v="0.46"/>
        <n v="3.42"/>
        <n v="1.1399999999999999"/>
        <n v="2.74"/>
        <n v="1.6"/>
        <n v="1.03"/>
        <n v="1.83"/>
        <n v="2.93"/>
        <n v="5.7"/>
        <n v="4.62"/>
        <n v="4.16"/>
        <n v="4.01"/>
        <n v="2.31"/>
        <n v="3.98"/>
        <n v="0.99"/>
        <n v="3.23"/>
        <n v="0.25"/>
        <n v="3.48"/>
        <n v="2.48"/>
        <n v="2.61"/>
        <n v="0.12"/>
        <n v="3.24"/>
        <n v="2.7"/>
        <n v="3.91"/>
        <n v="0.54"/>
        <n v="3.61"/>
        <n v="3.29"/>
        <n v="2.35"/>
        <n v="2.98"/>
        <n v="2.82"/>
        <n v="3.77"/>
        <n v="3.14"/>
        <n v="2.72"/>
        <n v="4"/>
        <n v="1.5"/>
        <n v="4.25"/>
        <n v="1"/>
        <n v="8.9700000000000006"/>
        <n v="4.8899999999999997"/>
        <n v="2.99"/>
        <n v="3.53"/>
        <n v="4.24"/>
        <n v="4.74"/>
        <n v="2.87"/>
        <n v="0.87"/>
        <n v="7.34"/>
        <n v="3.56"/>
        <n v="0.79"/>
        <n v="5"/>
        <n v="3.44"/>
        <n v="0.69"/>
        <n v="3.54"/>
        <n v="5.75"/>
        <n v="4.42"/>
        <n v="4.87"/>
        <n v="2.21"/>
        <n v="3.45"/>
        <n v="5.52"/>
        <n v="4.1399999999999997"/>
        <n v="2.76"/>
        <n v="9.76"/>
        <n v="4.88"/>
        <n v="4.43"/>
        <n v="8.23"/>
        <n v="3.8"/>
        <n v="3.16"/>
        <n v="6.02"/>
        <n v="4.82"/>
        <n v="4.95"/>
        <n v="6.59"/>
        <n v="3.85"/>
        <n v="5.8"/>
        <n v="0.72"/>
        <n v="4.3499999999999996"/>
        <n v="2.9"/>
        <n v="6.85"/>
        <n v="2.2799999999999998"/>
        <n v="4.57"/>
        <n v="3.08"/>
        <n v="5.38"/>
        <n v="5.88"/>
        <n v="3.92"/>
        <n v="9.8000000000000007"/>
        <n v="12.75"/>
        <n v="4.9000000000000004"/>
        <n v="6.06"/>
        <n v="2.6"/>
        <n v="6.49"/>
        <n v="7.79"/>
        <n v="3.9"/>
        <n v="5.0599999999999996"/>
        <n v="7.59"/>
        <n v="4.55"/>
        <n v="5.3"/>
        <n v="1.52"/>
        <n v="3.79"/>
        <n v="3.7"/>
      </sharedItems>
    </cacheField>
    <cacheField name="総数（法人以外の団体）" numFmtId="0" sqlType="4">
      <sharedItems containsSemiMixedTypes="0" containsString="0" containsNumber="1" containsInteger="1" minValue="0" maxValue="8" count="6">
        <n v="1"/>
        <n v="2"/>
        <n v="0"/>
        <n v="5"/>
        <n v="8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5">
  <r>
    <x v="0"/>
    <s v="千葉県"/>
    <x v="0"/>
    <x v="0"/>
    <n v="20"/>
    <n v="0.02"/>
    <n v="2"/>
    <n v="0"/>
    <n v="18"/>
    <n v="0.03"/>
    <x v="0"/>
  </r>
  <r>
    <x v="0"/>
    <s v="千葉県"/>
    <x v="0"/>
    <x v="1"/>
    <n v="16065"/>
    <n v="15.98"/>
    <n v="3425"/>
    <n v="8.0500000000000007"/>
    <n v="12639"/>
    <n v="22.01"/>
    <x v="1"/>
  </r>
  <r>
    <x v="0"/>
    <s v="千葉県"/>
    <x v="0"/>
    <x v="2"/>
    <n v="6343"/>
    <n v="6.31"/>
    <n v="1570"/>
    <n v="3.69"/>
    <n v="4770"/>
    <n v="8.31"/>
    <x v="2"/>
  </r>
  <r>
    <x v="0"/>
    <s v="千葉県"/>
    <x v="0"/>
    <x v="3"/>
    <n v="231"/>
    <n v="0.23"/>
    <n v="1"/>
    <n v="0"/>
    <n v="212"/>
    <n v="0.37"/>
    <x v="0"/>
  </r>
  <r>
    <x v="0"/>
    <s v="千葉県"/>
    <x v="0"/>
    <x v="4"/>
    <n v="1315"/>
    <n v="1.31"/>
    <n v="31"/>
    <n v="7.0000000000000007E-2"/>
    <n v="1284"/>
    <n v="2.2400000000000002"/>
    <x v="0"/>
  </r>
  <r>
    <x v="0"/>
    <s v="千葉県"/>
    <x v="0"/>
    <x v="5"/>
    <n v="1335"/>
    <n v="1.33"/>
    <n v="144"/>
    <n v="0.34"/>
    <n v="1181"/>
    <n v="2.06"/>
    <x v="3"/>
  </r>
  <r>
    <x v="0"/>
    <s v="千葉県"/>
    <x v="0"/>
    <x v="6"/>
    <n v="21133"/>
    <n v="21.02"/>
    <n v="7600"/>
    <n v="17.87"/>
    <n v="13516"/>
    <n v="23.54"/>
    <x v="4"/>
  </r>
  <r>
    <x v="0"/>
    <s v="千葉県"/>
    <x v="0"/>
    <x v="7"/>
    <n v="701"/>
    <n v="0.7"/>
    <n v="85"/>
    <n v="0.2"/>
    <n v="615"/>
    <n v="1.07"/>
    <x v="0"/>
  </r>
  <r>
    <x v="0"/>
    <s v="千葉県"/>
    <x v="0"/>
    <x v="8"/>
    <n v="10224"/>
    <n v="10.17"/>
    <n v="2396"/>
    <n v="5.63"/>
    <n v="7805"/>
    <n v="13.59"/>
    <x v="5"/>
  </r>
  <r>
    <x v="0"/>
    <s v="千葉県"/>
    <x v="0"/>
    <x v="9"/>
    <n v="5598"/>
    <n v="5.57"/>
    <n v="2182"/>
    <n v="5.13"/>
    <n v="3390"/>
    <n v="5.9"/>
    <x v="6"/>
  </r>
  <r>
    <x v="0"/>
    <s v="千葉県"/>
    <x v="0"/>
    <x v="10"/>
    <n v="11096"/>
    <n v="11.04"/>
    <n v="8538"/>
    <n v="20.07"/>
    <n v="2525"/>
    <n v="4.4000000000000004"/>
    <x v="7"/>
  </r>
  <r>
    <x v="0"/>
    <s v="千葉県"/>
    <x v="0"/>
    <x v="11"/>
    <n v="13367"/>
    <n v="13.29"/>
    <n v="9814"/>
    <n v="23.07"/>
    <n v="3455"/>
    <n v="6.02"/>
    <x v="8"/>
  </r>
  <r>
    <x v="0"/>
    <s v="千葉県"/>
    <x v="0"/>
    <x v="12"/>
    <n v="3718"/>
    <n v="3.7"/>
    <n v="2260"/>
    <n v="5.31"/>
    <n v="1304"/>
    <n v="2.27"/>
    <x v="9"/>
  </r>
  <r>
    <x v="0"/>
    <s v="千葉県"/>
    <x v="0"/>
    <x v="13"/>
    <n v="5424"/>
    <n v="5.39"/>
    <n v="3325"/>
    <n v="7.82"/>
    <n v="1976"/>
    <n v="3.44"/>
    <x v="6"/>
  </r>
  <r>
    <x v="0"/>
    <s v="千葉県"/>
    <x v="0"/>
    <x v="14"/>
    <n v="3977"/>
    <n v="3.96"/>
    <n v="1168"/>
    <n v="2.75"/>
    <n v="2723"/>
    <n v="4.74"/>
    <x v="4"/>
  </r>
  <r>
    <x v="0"/>
    <s v="千葉市"/>
    <x v="1"/>
    <x v="0"/>
    <n v="0"/>
    <n v="0"/>
    <n v="0"/>
    <n v="0"/>
    <n v="0"/>
    <n v="0"/>
    <x v="0"/>
  </r>
  <r>
    <x v="0"/>
    <s v="千葉市"/>
    <x v="1"/>
    <x v="1"/>
    <n v="2087"/>
    <n v="15.77"/>
    <n v="137"/>
    <n v="3.15"/>
    <n v="1950"/>
    <n v="21.98"/>
    <x v="0"/>
  </r>
  <r>
    <x v="0"/>
    <s v="千葉市"/>
    <x v="1"/>
    <x v="2"/>
    <n v="597"/>
    <n v="4.51"/>
    <n v="77"/>
    <n v="1.77"/>
    <n v="520"/>
    <n v="5.86"/>
    <x v="0"/>
  </r>
  <r>
    <x v="0"/>
    <s v="千葉市"/>
    <x v="1"/>
    <x v="3"/>
    <n v="54"/>
    <n v="0.41"/>
    <n v="0"/>
    <n v="0"/>
    <n v="54"/>
    <n v="0.61"/>
    <x v="0"/>
  </r>
  <r>
    <x v="0"/>
    <s v="千葉市"/>
    <x v="1"/>
    <x v="4"/>
    <n v="208"/>
    <n v="1.57"/>
    <n v="5"/>
    <n v="0.11"/>
    <n v="203"/>
    <n v="2.29"/>
    <x v="0"/>
  </r>
  <r>
    <x v="0"/>
    <s v="千葉市"/>
    <x v="1"/>
    <x v="5"/>
    <n v="196"/>
    <n v="1.48"/>
    <n v="27"/>
    <n v="0.62"/>
    <n v="168"/>
    <n v="1.89"/>
    <x v="1"/>
  </r>
  <r>
    <x v="0"/>
    <s v="千葉市"/>
    <x v="1"/>
    <x v="6"/>
    <n v="2707"/>
    <n v="20.45"/>
    <n v="638"/>
    <n v="14.67"/>
    <n v="2067"/>
    <n v="23.3"/>
    <x v="7"/>
  </r>
  <r>
    <x v="0"/>
    <s v="千葉市"/>
    <x v="1"/>
    <x v="7"/>
    <n v="127"/>
    <n v="0.96"/>
    <n v="7"/>
    <n v="0.16"/>
    <n v="120"/>
    <n v="1.35"/>
    <x v="0"/>
  </r>
  <r>
    <x v="0"/>
    <s v="千葉市"/>
    <x v="1"/>
    <x v="8"/>
    <n v="1646"/>
    <n v="12.43"/>
    <n v="404"/>
    <n v="9.2899999999999991"/>
    <n v="1240"/>
    <n v="13.98"/>
    <x v="7"/>
  </r>
  <r>
    <x v="0"/>
    <s v="千葉市"/>
    <x v="1"/>
    <x v="9"/>
    <n v="1012"/>
    <n v="7.64"/>
    <n v="370"/>
    <n v="8.51"/>
    <n v="640"/>
    <n v="7.21"/>
    <x v="1"/>
  </r>
  <r>
    <x v="0"/>
    <s v="千葉市"/>
    <x v="1"/>
    <x v="10"/>
    <n v="1126"/>
    <n v="8.51"/>
    <n v="732"/>
    <n v="16.829999999999998"/>
    <n v="394"/>
    <n v="4.4400000000000004"/>
    <x v="0"/>
  </r>
  <r>
    <x v="0"/>
    <s v="千葉市"/>
    <x v="1"/>
    <x v="11"/>
    <n v="1714"/>
    <n v="12.95"/>
    <n v="1152"/>
    <n v="26.49"/>
    <n v="561"/>
    <n v="6.32"/>
    <x v="1"/>
  </r>
  <r>
    <x v="0"/>
    <s v="千葉市"/>
    <x v="1"/>
    <x v="12"/>
    <n v="454"/>
    <n v="3.43"/>
    <n v="244"/>
    <n v="5.61"/>
    <n v="207"/>
    <n v="2.33"/>
    <x v="7"/>
  </r>
  <r>
    <x v="0"/>
    <s v="千葉市"/>
    <x v="1"/>
    <x v="13"/>
    <n v="769"/>
    <n v="5.81"/>
    <n v="472"/>
    <n v="10.85"/>
    <n v="296"/>
    <n v="3.34"/>
    <x v="1"/>
  </r>
  <r>
    <x v="0"/>
    <s v="千葉市"/>
    <x v="1"/>
    <x v="14"/>
    <n v="541"/>
    <n v="4.09"/>
    <n v="84"/>
    <n v="1.93"/>
    <n v="451"/>
    <n v="5.08"/>
    <x v="10"/>
  </r>
  <r>
    <x v="0"/>
    <s v="千葉市中央区"/>
    <x v="2"/>
    <x v="0"/>
    <n v="0"/>
    <n v="0"/>
    <n v="0"/>
    <n v="0"/>
    <n v="0"/>
    <n v="0"/>
    <x v="0"/>
  </r>
  <r>
    <x v="0"/>
    <s v="千葉市中央区"/>
    <x v="2"/>
    <x v="1"/>
    <n v="580"/>
    <n v="12.5"/>
    <n v="25"/>
    <n v="1.55"/>
    <n v="555"/>
    <n v="18.41"/>
    <x v="0"/>
  </r>
  <r>
    <x v="0"/>
    <s v="千葉市中央区"/>
    <x v="2"/>
    <x v="2"/>
    <n v="149"/>
    <n v="3.21"/>
    <n v="22"/>
    <n v="1.36"/>
    <n v="127"/>
    <n v="4.21"/>
    <x v="0"/>
  </r>
  <r>
    <x v="0"/>
    <s v="千葉市中央区"/>
    <x v="2"/>
    <x v="3"/>
    <n v="43"/>
    <n v="0.93"/>
    <n v="0"/>
    <n v="0"/>
    <n v="43"/>
    <n v="1.43"/>
    <x v="0"/>
  </r>
  <r>
    <x v="0"/>
    <s v="千葉市中央区"/>
    <x v="2"/>
    <x v="4"/>
    <n v="61"/>
    <n v="1.31"/>
    <n v="2"/>
    <n v="0.12"/>
    <n v="59"/>
    <n v="1.96"/>
    <x v="0"/>
  </r>
  <r>
    <x v="0"/>
    <s v="千葉市中央区"/>
    <x v="2"/>
    <x v="5"/>
    <n v="67"/>
    <n v="1.44"/>
    <n v="8"/>
    <n v="0.5"/>
    <n v="59"/>
    <n v="1.96"/>
    <x v="0"/>
  </r>
  <r>
    <x v="0"/>
    <s v="千葉市中央区"/>
    <x v="2"/>
    <x v="6"/>
    <n v="945"/>
    <n v="20.37"/>
    <n v="204"/>
    <n v="12.63"/>
    <n v="740"/>
    <n v="24.54"/>
    <x v="1"/>
  </r>
  <r>
    <x v="0"/>
    <s v="千葉市中央区"/>
    <x v="2"/>
    <x v="7"/>
    <n v="62"/>
    <n v="1.34"/>
    <n v="2"/>
    <n v="0.12"/>
    <n v="60"/>
    <n v="1.99"/>
    <x v="0"/>
  </r>
  <r>
    <x v="0"/>
    <s v="千葉市中央区"/>
    <x v="2"/>
    <x v="8"/>
    <n v="672"/>
    <n v="14.49"/>
    <n v="204"/>
    <n v="12.63"/>
    <n v="467"/>
    <n v="15.49"/>
    <x v="1"/>
  </r>
  <r>
    <x v="0"/>
    <s v="千葉市中央区"/>
    <x v="2"/>
    <x v="9"/>
    <n v="503"/>
    <n v="10.84"/>
    <n v="229"/>
    <n v="14.18"/>
    <n v="273"/>
    <n v="9.0500000000000007"/>
    <x v="0"/>
  </r>
  <r>
    <x v="0"/>
    <s v="千葉市中央区"/>
    <x v="2"/>
    <x v="10"/>
    <n v="476"/>
    <n v="10.26"/>
    <n v="317"/>
    <n v="19.63"/>
    <n v="159"/>
    <n v="5.27"/>
    <x v="0"/>
  </r>
  <r>
    <x v="0"/>
    <s v="千葉市中央区"/>
    <x v="2"/>
    <x v="11"/>
    <n v="567"/>
    <n v="12.22"/>
    <n v="374"/>
    <n v="23.16"/>
    <n v="192"/>
    <n v="6.37"/>
    <x v="1"/>
  </r>
  <r>
    <x v="0"/>
    <s v="千葉市中央区"/>
    <x v="2"/>
    <x v="12"/>
    <n v="130"/>
    <n v="2.8"/>
    <n v="73"/>
    <n v="4.5199999999999996"/>
    <n v="56"/>
    <n v="1.86"/>
    <x v="1"/>
  </r>
  <r>
    <x v="0"/>
    <s v="千葉市中央区"/>
    <x v="2"/>
    <x v="13"/>
    <n v="233"/>
    <n v="5.0199999999999996"/>
    <n v="144"/>
    <n v="8.92"/>
    <n v="88"/>
    <n v="2.92"/>
    <x v="1"/>
  </r>
  <r>
    <x v="0"/>
    <s v="千葉市中央区"/>
    <x v="2"/>
    <x v="14"/>
    <n v="151"/>
    <n v="3.26"/>
    <n v="11"/>
    <n v="0.68"/>
    <n v="137"/>
    <n v="4.54"/>
    <x v="7"/>
  </r>
  <r>
    <x v="0"/>
    <s v="千葉市花見川区"/>
    <x v="3"/>
    <x v="0"/>
    <n v="0"/>
    <n v="0"/>
    <n v="0"/>
    <n v="0"/>
    <n v="0"/>
    <n v="0"/>
    <x v="0"/>
  </r>
  <r>
    <x v="0"/>
    <s v="千葉市花見川区"/>
    <x v="3"/>
    <x v="1"/>
    <n v="394"/>
    <n v="18.920000000000002"/>
    <n v="34"/>
    <n v="4.58"/>
    <n v="360"/>
    <n v="26.91"/>
    <x v="0"/>
  </r>
  <r>
    <x v="0"/>
    <s v="千葉市花見川区"/>
    <x v="3"/>
    <x v="2"/>
    <n v="135"/>
    <n v="6.48"/>
    <n v="18"/>
    <n v="2.42"/>
    <n v="117"/>
    <n v="8.74"/>
    <x v="0"/>
  </r>
  <r>
    <x v="0"/>
    <s v="千葉市花見川区"/>
    <x v="3"/>
    <x v="3"/>
    <n v="0"/>
    <n v="0"/>
    <n v="0"/>
    <n v="0"/>
    <n v="0"/>
    <n v="0"/>
    <x v="0"/>
  </r>
  <r>
    <x v="0"/>
    <s v="千葉市花見川区"/>
    <x v="3"/>
    <x v="4"/>
    <n v="31"/>
    <n v="1.49"/>
    <n v="1"/>
    <n v="0.13"/>
    <n v="30"/>
    <n v="2.2400000000000002"/>
    <x v="0"/>
  </r>
  <r>
    <x v="0"/>
    <s v="千葉市花見川区"/>
    <x v="3"/>
    <x v="5"/>
    <n v="28"/>
    <n v="1.34"/>
    <n v="4"/>
    <n v="0.54"/>
    <n v="24"/>
    <n v="1.79"/>
    <x v="0"/>
  </r>
  <r>
    <x v="0"/>
    <s v="千葉市花見川区"/>
    <x v="3"/>
    <x v="6"/>
    <n v="391"/>
    <n v="18.78"/>
    <n v="129"/>
    <n v="17.36"/>
    <n v="261"/>
    <n v="19.510000000000002"/>
    <x v="1"/>
  </r>
  <r>
    <x v="0"/>
    <s v="千葉市花見川区"/>
    <x v="3"/>
    <x v="7"/>
    <n v="18"/>
    <n v="0.86"/>
    <n v="1"/>
    <n v="0.13"/>
    <n v="17"/>
    <n v="1.27"/>
    <x v="0"/>
  </r>
  <r>
    <x v="0"/>
    <s v="千葉市花見川区"/>
    <x v="3"/>
    <x v="8"/>
    <n v="282"/>
    <n v="13.54"/>
    <n v="85"/>
    <n v="11.44"/>
    <n v="197"/>
    <n v="14.72"/>
    <x v="0"/>
  </r>
  <r>
    <x v="0"/>
    <s v="千葉市花見川区"/>
    <x v="3"/>
    <x v="9"/>
    <n v="101"/>
    <n v="4.8499999999999996"/>
    <n v="34"/>
    <n v="4.58"/>
    <n v="67"/>
    <n v="5.01"/>
    <x v="0"/>
  </r>
  <r>
    <x v="0"/>
    <s v="千葉市花見川区"/>
    <x v="3"/>
    <x v="10"/>
    <n v="144"/>
    <n v="6.92"/>
    <n v="104"/>
    <n v="14"/>
    <n v="40"/>
    <n v="2.99"/>
    <x v="0"/>
  </r>
  <r>
    <x v="0"/>
    <s v="千葉市花見川区"/>
    <x v="3"/>
    <x v="11"/>
    <n v="266"/>
    <n v="12.78"/>
    <n v="190"/>
    <n v="25.57"/>
    <n v="76"/>
    <n v="5.68"/>
    <x v="0"/>
  </r>
  <r>
    <x v="0"/>
    <s v="千葉市花見川区"/>
    <x v="3"/>
    <x v="12"/>
    <n v="66"/>
    <n v="3.17"/>
    <n v="42"/>
    <n v="5.65"/>
    <n v="24"/>
    <n v="1.79"/>
    <x v="0"/>
  </r>
  <r>
    <x v="0"/>
    <s v="千葉市花見川区"/>
    <x v="3"/>
    <x v="13"/>
    <n v="133"/>
    <n v="6.39"/>
    <n v="80"/>
    <n v="10.77"/>
    <n v="53"/>
    <n v="3.96"/>
    <x v="0"/>
  </r>
  <r>
    <x v="0"/>
    <s v="千葉市花見川区"/>
    <x v="3"/>
    <x v="14"/>
    <n v="93"/>
    <n v="4.47"/>
    <n v="21"/>
    <n v="2.83"/>
    <n v="72"/>
    <n v="5.38"/>
    <x v="0"/>
  </r>
  <r>
    <x v="0"/>
    <s v="千葉市稲毛区"/>
    <x v="4"/>
    <x v="0"/>
    <n v="0"/>
    <n v="0"/>
    <n v="0"/>
    <n v="0"/>
    <n v="0"/>
    <n v="0"/>
    <x v="0"/>
  </r>
  <r>
    <x v="0"/>
    <s v="千葉市稲毛区"/>
    <x v="4"/>
    <x v="1"/>
    <n v="312"/>
    <n v="15.28"/>
    <n v="18"/>
    <n v="2.5499999999999998"/>
    <n v="294"/>
    <n v="22.01"/>
    <x v="0"/>
  </r>
  <r>
    <x v="0"/>
    <s v="千葉市稲毛区"/>
    <x v="4"/>
    <x v="2"/>
    <n v="96"/>
    <n v="4.7"/>
    <n v="12"/>
    <n v="1.7"/>
    <n v="84"/>
    <n v="6.29"/>
    <x v="0"/>
  </r>
  <r>
    <x v="0"/>
    <s v="千葉市稲毛区"/>
    <x v="4"/>
    <x v="3"/>
    <n v="3"/>
    <n v="0.15"/>
    <n v="0"/>
    <n v="0"/>
    <n v="3"/>
    <n v="0.22"/>
    <x v="0"/>
  </r>
  <r>
    <x v="0"/>
    <s v="千葉市稲毛区"/>
    <x v="4"/>
    <x v="4"/>
    <n v="29"/>
    <n v="1.42"/>
    <n v="1"/>
    <n v="0.14000000000000001"/>
    <n v="28"/>
    <n v="2.1"/>
    <x v="0"/>
  </r>
  <r>
    <x v="0"/>
    <s v="千葉市稲毛区"/>
    <x v="4"/>
    <x v="5"/>
    <n v="28"/>
    <n v="1.37"/>
    <n v="4"/>
    <n v="0.56999999999999995"/>
    <n v="24"/>
    <n v="1.8"/>
    <x v="0"/>
  </r>
  <r>
    <x v="0"/>
    <s v="千葉市稲毛区"/>
    <x v="4"/>
    <x v="6"/>
    <n v="408"/>
    <n v="19.98"/>
    <n v="108"/>
    <n v="15.3"/>
    <n v="300"/>
    <n v="22.46"/>
    <x v="0"/>
  </r>
  <r>
    <x v="0"/>
    <s v="千葉市稲毛区"/>
    <x v="4"/>
    <x v="7"/>
    <n v="10"/>
    <n v="0.49"/>
    <n v="1"/>
    <n v="0.14000000000000001"/>
    <n v="9"/>
    <n v="0.67"/>
    <x v="0"/>
  </r>
  <r>
    <x v="0"/>
    <s v="千葉市稲毛区"/>
    <x v="4"/>
    <x v="8"/>
    <n v="316"/>
    <n v="15.48"/>
    <n v="100"/>
    <n v="14.16"/>
    <n v="216"/>
    <n v="16.170000000000002"/>
    <x v="0"/>
  </r>
  <r>
    <x v="0"/>
    <s v="千葉市稲毛区"/>
    <x v="4"/>
    <x v="9"/>
    <n v="137"/>
    <n v="6.71"/>
    <n v="37"/>
    <n v="5.24"/>
    <n v="100"/>
    <n v="7.49"/>
    <x v="0"/>
  </r>
  <r>
    <x v="0"/>
    <s v="千葉市稲毛区"/>
    <x v="4"/>
    <x v="10"/>
    <n v="171"/>
    <n v="8.3699999999999992"/>
    <n v="115"/>
    <n v="16.29"/>
    <n v="56"/>
    <n v="4.1900000000000004"/>
    <x v="0"/>
  </r>
  <r>
    <x v="0"/>
    <s v="千葉市稲毛区"/>
    <x v="4"/>
    <x v="11"/>
    <n v="246"/>
    <n v="12.05"/>
    <n v="166"/>
    <n v="23.51"/>
    <n v="80"/>
    <n v="5.99"/>
    <x v="0"/>
  </r>
  <r>
    <x v="0"/>
    <s v="千葉市稲毛区"/>
    <x v="4"/>
    <x v="12"/>
    <n v="70"/>
    <n v="3.43"/>
    <n v="41"/>
    <n v="5.81"/>
    <n v="29"/>
    <n v="2.17"/>
    <x v="0"/>
  </r>
  <r>
    <x v="0"/>
    <s v="千葉市稲毛区"/>
    <x v="4"/>
    <x v="13"/>
    <n v="139"/>
    <n v="6.81"/>
    <n v="93"/>
    <n v="13.17"/>
    <n v="46"/>
    <n v="3.44"/>
    <x v="0"/>
  </r>
  <r>
    <x v="0"/>
    <s v="千葉市稲毛区"/>
    <x v="4"/>
    <x v="14"/>
    <n v="77"/>
    <n v="3.77"/>
    <n v="10"/>
    <n v="1.42"/>
    <n v="67"/>
    <n v="5.01"/>
    <x v="0"/>
  </r>
  <r>
    <x v="0"/>
    <s v="千葉市若葉区"/>
    <x v="5"/>
    <x v="0"/>
    <n v="0"/>
    <n v="0"/>
    <n v="0"/>
    <n v="0"/>
    <n v="0"/>
    <n v="0"/>
    <x v="0"/>
  </r>
  <r>
    <x v="0"/>
    <s v="千葉市若葉区"/>
    <x v="5"/>
    <x v="1"/>
    <n v="519"/>
    <n v="23.93"/>
    <n v="38"/>
    <n v="5.58"/>
    <n v="481"/>
    <n v="32.39"/>
    <x v="0"/>
  </r>
  <r>
    <x v="0"/>
    <s v="千葉市若葉区"/>
    <x v="5"/>
    <x v="2"/>
    <n v="128"/>
    <n v="5.9"/>
    <n v="19"/>
    <n v="2.79"/>
    <n v="109"/>
    <n v="7.34"/>
    <x v="0"/>
  </r>
  <r>
    <x v="0"/>
    <s v="千葉市若葉区"/>
    <x v="5"/>
    <x v="3"/>
    <n v="2"/>
    <n v="0.09"/>
    <n v="0"/>
    <n v="0"/>
    <n v="2"/>
    <n v="0.13"/>
    <x v="0"/>
  </r>
  <r>
    <x v="0"/>
    <s v="千葉市若葉区"/>
    <x v="5"/>
    <x v="4"/>
    <n v="27"/>
    <n v="1.24"/>
    <n v="0"/>
    <n v="0"/>
    <n v="27"/>
    <n v="1.82"/>
    <x v="0"/>
  </r>
  <r>
    <x v="0"/>
    <s v="千葉市若葉区"/>
    <x v="5"/>
    <x v="5"/>
    <n v="35"/>
    <n v="1.61"/>
    <n v="7"/>
    <n v="1.03"/>
    <n v="27"/>
    <n v="1.82"/>
    <x v="1"/>
  </r>
  <r>
    <x v="0"/>
    <s v="千葉市若葉区"/>
    <x v="5"/>
    <x v="6"/>
    <n v="424"/>
    <n v="19.55"/>
    <n v="114"/>
    <n v="16.739999999999998"/>
    <n v="310"/>
    <n v="20.88"/>
    <x v="0"/>
  </r>
  <r>
    <x v="0"/>
    <s v="千葉市若葉区"/>
    <x v="5"/>
    <x v="7"/>
    <n v="16"/>
    <n v="0.74"/>
    <n v="1"/>
    <n v="0.15"/>
    <n v="15"/>
    <n v="1.01"/>
    <x v="0"/>
  </r>
  <r>
    <x v="0"/>
    <s v="千葉市若葉区"/>
    <x v="5"/>
    <x v="8"/>
    <n v="187"/>
    <n v="8.6199999999999992"/>
    <n v="8"/>
    <n v="1.17"/>
    <n v="179"/>
    <n v="12.05"/>
    <x v="0"/>
  </r>
  <r>
    <x v="0"/>
    <s v="千葉市若葉区"/>
    <x v="5"/>
    <x v="9"/>
    <n v="94"/>
    <n v="4.33"/>
    <n v="30"/>
    <n v="4.41"/>
    <n v="64"/>
    <n v="4.3099999999999996"/>
    <x v="0"/>
  </r>
  <r>
    <x v="0"/>
    <s v="千葉市若葉区"/>
    <x v="5"/>
    <x v="10"/>
    <n v="179"/>
    <n v="8.25"/>
    <n v="128"/>
    <n v="18.8"/>
    <n v="51"/>
    <n v="3.43"/>
    <x v="0"/>
  </r>
  <r>
    <x v="0"/>
    <s v="千葉市若葉区"/>
    <x v="5"/>
    <x v="11"/>
    <n v="285"/>
    <n v="13.14"/>
    <n v="211"/>
    <n v="30.98"/>
    <n v="74"/>
    <n v="4.9800000000000004"/>
    <x v="0"/>
  </r>
  <r>
    <x v="0"/>
    <s v="千葉市若葉区"/>
    <x v="5"/>
    <x v="12"/>
    <n v="47"/>
    <n v="2.17"/>
    <n v="25"/>
    <n v="3.67"/>
    <n v="22"/>
    <n v="1.48"/>
    <x v="0"/>
  </r>
  <r>
    <x v="0"/>
    <s v="千葉市若葉区"/>
    <x v="5"/>
    <x v="13"/>
    <n v="114"/>
    <n v="5.26"/>
    <n v="71"/>
    <n v="10.43"/>
    <n v="43"/>
    <n v="2.9"/>
    <x v="0"/>
  </r>
  <r>
    <x v="0"/>
    <s v="千葉市若葉区"/>
    <x v="5"/>
    <x v="14"/>
    <n v="112"/>
    <n v="5.16"/>
    <n v="29"/>
    <n v="4.26"/>
    <n v="81"/>
    <n v="5.45"/>
    <x v="1"/>
  </r>
  <r>
    <x v="0"/>
    <s v="千葉市緑区"/>
    <x v="6"/>
    <x v="0"/>
    <n v="0"/>
    <n v="0"/>
    <n v="0"/>
    <n v="0"/>
    <n v="0"/>
    <n v="0"/>
    <x v="0"/>
  </r>
  <r>
    <x v="0"/>
    <s v="千葉市緑区"/>
    <x v="6"/>
    <x v="1"/>
    <n v="190"/>
    <n v="16.05"/>
    <n v="17"/>
    <n v="4.0199999999999996"/>
    <n v="173"/>
    <n v="22.79"/>
    <x v="0"/>
  </r>
  <r>
    <x v="0"/>
    <s v="千葉市緑区"/>
    <x v="6"/>
    <x v="2"/>
    <n v="47"/>
    <n v="3.97"/>
    <n v="6"/>
    <n v="1.42"/>
    <n v="41"/>
    <n v="5.4"/>
    <x v="0"/>
  </r>
  <r>
    <x v="0"/>
    <s v="千葉市緑区"/>
    <x v="6"/>
    <x v="3"/>
    <n v="4"/>
    <n v="0.34"/>
    <n v="0"/>
    <n v="0"/>
    <n v="4"/>
    <n v="0.53"/>
    <x v="0"/>
  </r>
  <r>
    <x v="0"/>
    <s v="千葉市緑区"/>
    <x v="6"/>
    <x v="4"/>
    <n v="19"/>
    <n v="1.6"/>
    <n v="0"/>
    <n v="0"/>
    <n v="19"/>
    <n v="2.5"/>
    <x v="0"/>
  </r>
  <r>
    <x v="0"/>
    <s v="千葉市緑区"/>
    <x v="6"/>
    <x v="5"/>
    <n v="12"/>
    <n v="1.01"/>
    <n v="3"/>
    <n v="0.71"/>
    <n v="9"/>
    <n v="1.19"/>
    <x v="0"/>
  </r>
  <r>
    <x v="0"/>
    <s v="千葉市緑区"/>
    <x v="6"/>
    <x v="6"/>
    <n v="203"/>
    <n v="17.149999999999999"/>
    <n v="53"/>
    <n v="12.53"/>
    <n v="150"/>
    <n v="19.760000000000002"/>
    <x v="0"/>
  </r>
  <r>
    <x v="0"/>
    <s v="千葉市緑区"/>
    <x v="6"/>
    <x v="7"/>
    <n v="8"/>
    <n v="0.68"/>
    <n v="2"/>
    <n v="0.47"/>
    <n v="6"/>
    <n v="0.79"/>
    <x v="0"/>
  </r>
  <r>
    <x v="0"/>
    <s v="千葉市緑区"/>
    <x v="6"/>
    <x v="8"/>
    <n v="102"/>
    <n v="8.61"/>
    <n v="7"/>
    <n v="1.65"/>
    <n v="95"/>
    <n v="12.52"/>
    <x v="0"/>
  </r>
  <r>
    <x v="0"/>
    <s v="千葉市緑区"/>
    <x v="6"/>
    <x v="9"/>
    <n v="74"/>
    <n v="6.25"/>
    <n v="22"/>
    <n v="5.2"/>
    <n v="52"/>
    <n v="6.85"/>
    <x v="0"/>
  </r>
  <r>
    <x v="0"/>
    <s v="千葉市緑区"/>
    <x v="6"/>
    <x v="10"/>
    <n v="84"/>
    <n v="7.09"/>
    <n v="53"/>
    <n v="12.53"/>
    <n v="31"/>
    <n v="4.08"/>
    <x v="0"/>
  </r>
  <r>
    <x v="0"/>
    <s v="千葉市緑区"/>
    <x v="6"/>
    <x v="11"/>
    <n v="216"/>
    <n v="18.239999999999998"/>
    <n v="148"/>
    <n v="34.99"/>
    <n v="68"/>
    <n v="8.9600000000000009"/>
    <x v="0"/>
  </r>
  <r>
    <x v="0"/>
    <s v="千葉市緑区"/>
    <x v="6"/>
    <x v="12"/>
    <n v="86"/>
    <n v="7.26"/>
    <n v="48"/>
    <n v="11.35"/>
    <n v="37"/>
    <n v="4.87"/>
    <x v="0"/>
  </r>
  <r>
    <x v="0"/>
    <s v="千葉市緑区"/>
    <x v="6"/>
    <x v="13"/>
    <n v="92"/>
    <n v="7.77"/>
    <n v="53"/>
    <n v="12.53"/>
    <n v="39"/>
    <n v="5.14"/>
    <x v="0"/>
  </r>
  <r>
    <x v="0"/>
    <s v="千葉市緑区"/>
    <x v="6"/>
    <x v="14"/>
    <n v="47"/>
    <n v="3.97"/>
    <n v="11"/>
    <n v="2.6"/>
    <n v="35"/>
    <n v="4.6100000000000003"/>
    <x v="1"/>
  </r>
  <r>
    <x v="0"/>
    <s v="千葉市美浜区"/>
    <x v="7"/>
    <x v="0"/>
    <n v="0"/>
    <n v="0"/>
    <n v="0"/>
    <n v="0"/>
    <n v="0"/>
    <n v="0"/>
    <x v="0"/>
  </r>
  <r>
    <x v="0"/>
    <s v="千葉市美浜区"/>
    <x v="7"/>
    <x v="1"/>
    <n v="92"/>
    <n v="8.1999999999999993"/>
    <n v="5"/>
    <n v="2.76"/>
    <n v="87"/>
    <n v="9.2799999999999994"/>
    <x v="0"/>
  </r>
  <r>
    <x v="0"/>
    <s v="千葉市美浜区"/>
    <x v="7"/>
    <x v="2"/>
    <n v="42"/>
    <n v="3.74"/>
    <n v="0"/>
    <n v="0"/>
    <n v="42"/>
    <n v="4.4800000000000004"/>
    <x v="0"/>
  </r>
  <r>
    <x v="0"/>
    <s v="千葉市美浜区"/>
    <x v="7"/>
    <x v="3"/>
    <n v="2"/>
    <n v="0.18"/>
    <n v="0"/>
    <n v="0"/>
    <n v="2"/>
    <n v="0.21"/>
    <x v="0"/>
  </r>
  <r>
    <x v="0"/>
    <s v="千葉市美浜区"/>
    <x v="7"/>
    <x v="4"/>
    <n v="41"/>
    <n v="3.65"/>
    <n v="1"/>
    <n v="0.55000000000000004"/>
    <n v="40"/>
    <n v="4.26"/>
    <x v="0"/>
  </r>
  <r>
    <x v="0"/>
    <s v="千葉市美浜区"/>
    <x v="7"/>
    <x v="5"/>
    <n v="26"/>
    <n v="2.3199999999999998"/>
    <n v="1"/>
    <n v="0.55000000000000004"/>
    <n v="25"/>
    <n v="2.67"/>
    <x v="0"/>
  </r>
  <r>
    <x v="0"/>
    <s v="千葉市美浜区"/>
    <x v="7"/>
    <x v="6"/>
    <n v="336"/>
    <n v="29.95"/>
    <n v="30"/>
    <n v="16.57"/>
    <n v="306"/>
    <n v="32.619999999999997"/>
    <x v="0"/>
  </r>
  <r>
    <x v="0"/>
    <s v="千葉市美浜区"/>
    <x v="7"/>
    <x v="7"/>
    <n v="13"/>
    <n v="1.1599999999999999"/>
    <n v="0"/>
    <n v="0"/>
    <n v="13"/>
    <n v="1.39"/>
    <x v="0"/>
  </r>
  <r>
    <x v="0"/>
    <s v="千葉市美浜区"/>
    <x v="7"/>
    <x v="8"/>
    <n v="87"/>
    <n v="7.75"/>
    <n v="0"/>
    <n v="0"/>
    <n v="86"/>
    <n v="9.17"/>
    <x v="1"/>
  </r>
  <r>
    <x v="0"/>
    <s v="千葉市美浜区"/>
    <x v="7"/>
    <x v="9"/>
    <n v="103"/>
    <n v="9.18"/>
    <n v="18"/>
    <n v="9.94"/>
    <n v="84"/>
    <n v="8.9600000000000009"/>
    <x v="1"/>
  </r>
  <r>
    <x v="0"/>
    <s v="千葉市美浜区"/>
    <x v="7"/>
    <x v="10"/>
    <n v="72"/>
    <n v="6.42"/>
    <n v="15"/>
    <n v="8.2899999999999991"/>
    <n v="57"/>
    <n v="6.08"/>
    <x v="0"/>
  </r>
  <r>
    <x v="0"/>
    <s v="千葉市美浜区"/>
    <x v="7"/>
    <x v="11"/>
    <n v="134"/>
    <n v="11.94"/>
    <n v="63"/>
    <n v="34.81"/>
    <n v="71"/>
    <n v="7.57"/>
    <x v="0"/>
  </r>
  <r>
    <x v="0"/>
    <s v="千葉市美浜区"/>
    <x v="7"/>
    <x v="12"/>
    <n v="55"/>
    <n v="4.9000000000000004"/>
    <n v="15"/>
    <n v="8.2899999999999991"/>
    <n v="39"/>
    <n v="4.16"/>
    <x v="1"/>
  </r>
  <r>
    <x v="0"/>
    <s v="千葉市美浜区"/>
    <x v="7"/>
    <x v="13"/>
    <n v="58"/>
    <n v="5.17"/>
    <n v="31"/>
    <n v="17.13"/>
    <n v="27"/>
    <n v="2.88"/>
    <x v="0"/>
  </r>
  <r>
    <x v="0"/>
    <s v="千葉市美浜区"/>
    <x v="7"/>
    <x v="14"/>
    <n v="61"/>
    <n v="5.44"/>
    <n v="2"/>
    <n v="1.1000000000000001"/>
    <n v="59"/>
    <n v="6.29"/>
    <x v="0"/>
  </r>
  <r>
    <x v="0"/>
    <s v="銚子市"/>
    <x v="8"/>
    <x v="0"/>
    <n v="0"/>
    <n v="0"/>
    <n v="0"/>
    <n v="0"/>
    <n v="0"/>
    <n v="0"/>
    <x v="0"/>
  </r>
  <r>
    <x v="0"/>
    <s v="銚子市"/>
    <x v="8"/>
    <x v="1"/>
    <n v="253"/>
    <n v="12.41"/>
    <n v="121"/>
    <n v="9.51"/>
    <n v="132"/>
    <n v="17.48"/>
    <x v="0"/>
  </r>
  <r>
    <x v="0"/>
    <s v="銚子市"/>
    <x v="8"/>
    <x v="2"/>
    <n v="186"/>
    <n v="9.1199999999999992"/>
    <n v="74"/>
    <n v="5.81"/>
    <n v="112"/>
    <n v="14.83"/>
    <x v="0"/>
  </r>
  <r>
    <x v="0"/>
    <s v="銚子市"/>
    <x v="8"/>
    <x v="3"/>
    <n v="9"/>
    <n v="0.44"/>
    <n v="0"/>
    <n v="0"/>
    <n v="7"/>
    <n v="0.93"/>
    <x v="0"/>
  </r>
  <r>
    <x v="0"/>
    <s v="銚子市"/>
    <x v="8"/>
    <x v="4"/>
    <n v="10"/>
    <n v="0.49"/>
    <n v="0"/>
    <n v="0"/>
    <n v="10"/>
    <n v="1.32"/>
    <x v="0"/>
  </r>
  <r>
    <x v="0"/>
    <s v="銚子市"/>
    <x v="8"/>
    <x v="5"/>
    <n v="18"/>
    <n v="0.88"/>
    <n v="7"/>
    <n v="0.55000000000000004"/>
    <n v="11"/>
    <n v="1.46"/>
    <x v="0"/>
  </r>
  <r>
    <x v="0"/>
    <s v="銚子市"/>
    <x v="8"/>
    <x v="6"/>
    <n v="624"/>
    <n v="30.6"/>
    <n v="353"/>
    <n v="27.73"/>
    <n v="271"/>
    <n v="35.89"/>
    <x v="0"/>
  </r>
  <r>
    <x v="0"/>
    <s v="銚子市"/>
    <x v="8"/>
    <x v="7"/>
    <n v="17"/>
    <n v="0.83"/>
    <n v="4"/>
    <n v="0.31"/>
    <n v="13"/>
    <n v="1.72"/>
    <x v="0"/>
  </r>
  <r>
    <x v="0"/>
    <s v="銚子市"/>
    <x v="8"/>
    <x v="8"/>
    <n v="132"/>
    <n v="6.47"/>
    <n v="74"/>
    <n v="5.81"/>
    <n v="58"/>
    <n v="7.68"/>
    <x v="0"/>
  </r>
  <r>
    <x v="0"/>
    <s v="銚子市"/>
    <x v="8"/>
    <x v="9"/>
    <n v="61"/>
    <n v="2.99"/>
    <n v="42"/>
    <n v="3.3"/>
    <n v="17"/>
    <n v="2.25"/>
    <x v="0"/>
  </r>
  <r>
    <x v="0"/>
    <s v="銚子市"/>
    <x v="8"/>
    <x v="10"/>
    <n v="261"/>
    <n v="12.8"/>
    <n v="225"/>
    <n v="17.670000000000002"/>
    <n v="35"/>
    <n v="4.6399999999999997"/>
    <x v="0"/>
  </r>
  <r>
    <x v="0"/>
    <s v="銚子市"/>
    <x v="8"/>
    <x v="11"/>
    <n v="255"/>
    <n v="12.51"/>
    <n v="226"/>
    <n v="17.75"/>
    <n v="29"/>
    <n v="3.84"/>
    <x v="0"/>
  </r>
  <r>
    <x v="0"/>
    <s v="銚子市"/>
    <x v="8"/>
    <x v="12"/>
    <n v="47"/>
    <n v="2.31"/>
    <n v="38"/>
    <n v="2.99"/>
    <n v="8"/>
    <n v="1.06"/>
    <x v="0"/>
  </r>
  <r>
    <x v="0"/>
    <s v="銚子市"/>
    <x v="8"/>
    <x v="13"/>
    <n v="90"/>
    <n v="4.41"/>
    <n v="60"/>
    <n v="4.71"/>
    <n v="28"/>
    <n v="3.71"/>
    <x v="0"/>
  </r>
  <r>
    <x v="0"/>
    <s v="銚子市"/>
    <x v="8"/>
    <x v="14"/>
    <n v="76"/>
    <n v="3.73"/>
    <n v="49"/>
    <n v="3.85"/>
    <n v="24"/>
    <n v="3.18"/>
    <x v="0"/>
  </r>
  <r>
    <x v="0"/>
    <s v="市川市"/>
    <x v="9"/>
    <x v="0"/>
    <n v="0"/>
    <n v="0"/>
    <n v="0"/>
    <n v="0"/>
    <n v="0"/>
    <n v="0"/>
    <x v="0"/>
  </r>
  <r>
    <x v="0"/>
    <s v="市川市"/>
    <x v="9"/>
    <x v="1"/>
    <n v="840"/>
    <n v="12.68"/>
    <n v="92"/>
    <n v="3.7"/>
    <n v="748"/>
    <n v="18.27"/>
    <x v="0"/>
  </r>
  <r>
    <x v="0"/>
    <s v="市川市"/>
    <x v="9"/>
    <x v="2"/>
    <n v="393"/>
    <n v="5.93"/>
    <n v="66"/>
    <n v="2.66"/>
    <n v="327"/>
    <n v="7.99"/>
    <x v="0"/>
  </r>
  <r>
    <x v="0"/>
    <s v="市川市"/>
    <x v="9"/>
    <x v="3"/>
    <n v="4"/>
    <n v="0.06"/>
    <n v="0"/>
    <n v="0"/>
    <n v="4"/>
    <n v="0.1"/>
    <x v="0"/>
  </r>
  <r>
    <x v="0"/>
    <s v="市川市"/>
    <x v="9"/>
    <x v="4"/>
    <n v="116"/>
    <n v="1.75"/>
    <n v="1"/>
    <n v="0.04"/>
    <n v="115"/>
    <n v="2.81"/>
    <x v="0"/>
  </r>
  <r>
    <x v="0"/>
    <s v="市川市"/>
    <x v="9"/>
    <x v="5"/>
    <n v="77"/>
    <n v="1.1599999999999999"/>
    <n v="8"/>
    <n v="0.32"/>
    <n v="69"/>
    <n v="1.69"/>
    <x v="0"/>
  </r>
  <r>
    <x v="0"/>
    <s v="市川市"/>
    <x v="9"/>
    <x v="6"/>
    <n v="1271"/>
    <n v="19.190000000000001"/>
    <n v="439"/>
    <n v="17.670000000000002"/>
    <n v="832"/>
    <n v="20.32"/>
    <x v="0"/>
  </r>
  <r>
    <x v="0"/>
    <s v="市川市"/>
    <x v="9"/>
    <x v="7"/>
    <n v="29"/>
    <n v="0.44"/>
    <n v="0"/>
    <n v="0"/>
    <n v="29"/>
    <n v="0.71"/>
    <x v="0"/>
  </r>
  <r>
    <x v="0"/>
    <s v="市川市"/>
    <x v="9"/>
    <x v="8"/>
    <n v="1181"/>
    <n v="17.829999999999998"/>
    <n v="324"/>
    <n v="13.04"/>
    <n v="856"/>
    <n v="20.91"/>
    <x v="1"/>
  </r>
  <r>
    <x v="0"/>
    <s v="市川市"/>
    <x v="9"/>
    <x v="9"/>
    <n v="403"/>
    <n v="6.08"/>
    <n v="138"/>
    <n v="5.56"/>
    <n v="264"/>
    <n v="6.45"/>
    <x v="0"/>
  </r>
  <r>
    <x v="0"/>
    <s v="市川市"/>
    <x v="9"/>
    <x v="10"/>
    <n v="616"/>
    <n v="9.3000000000000007"/>
    <n v="437"/>
    <n v="17.59"/>
    <n v="179"/>
    <n v="4.37"/>
    <x v="0"/>
  </r>
  <r>
    <x v="0"/>
    <s v="市川市"/>
    <x v="9"/>
    <x v="11"/>
    <n v="820"/>
    <n v="12.38"/>
    <n v="555"/>
    <n v="22.34"/>
    <n v="259"/>
    <n v="6.33"/>
    <x v="1"/>
  </r>
  <r>
    <x v="0"/>
    <s v="市川市"/>
    <x v="9"/>
    <x v="12"/>
    <n v="251"/>
    <n v="3.79"/>
    <n v="150"/>
    <n v="6.04"/>
    <n v="95"/>
    <n v="2.3199999999999998"/>
    <x v="0"/>
  </r>
  <r>
    <x v="0"/>
    <s v="市川市"/>
    <x v="9"/>
    <x v="13"/>
    <n v="411"/>
    <n v="6.21"/>
    <n v="246"/>
    <n v="9.9"/>
    <n v="142"/>
    <n v="3.47"/>
    <x v="0"/>
  </r>
  <r>
    <x v="0"/>
    <s v="市川市"/>
    <x v="9"/>
    <x v="14"/>
    <n v="211"/>
    <n v="3.19"/>
    <n v="28"/>
    <n v="1.1299999999999999"/>
    <n v="175"/>
    <n v="4.2699999999999996"/>
    <x v="0"/>
  </r>
  <r>
    <x v="0"/>
    <s v="船橋市"/>
    <x v="10"/>
    <x v="0"/>
    <n v="0"/>
    <n v="0"/>
    <n v="0"/>
    <n v="0"/>
    <n v="0"/>
    <n v="0"/>
    <x v="0"/>
  </r>
  <r>
    <x v="0"/>
    <s v="船橋市"/>
    <x v="10"/>
    <x v="1"/>
    <n v="1078"/>
    <n v="13.34"/>
    <n v="132"/>
    <n v="4.4400000000000004"/>
    <n v="946"/>
    <n v="18.8"/>
    <x v="0"/>
  </r>
  <r>
    <x v="0"/>
    <s v="船橋市"/>
    <x v="10"/>
    <x v="2"/>
    <n v="420"/>
    <n v="5.2"/>
    <n v="77"/>
    <n v="2.59"/>
    <n v="343"/>
    <n v="6.82"/>
    <x v="0"/>
  </r>
  <r>
    <x v="0"/>
    <s v="船橋市"/>
    <x v="10"/>
    <x v="3"/>
    <n v="8"/>
    <n v="0.1"/>
    <n v="0"/>
    <n v="0"/>
    <n v="6"/>
    <n v="0.12"/>
    <x v="0"/>
  </r>
  <r>
    <x v="0"/>
    <s v="船橋市"/>
    <x v="10"/>
    <x v="4"/>
    <n v="148"/>
    <n v="1.83"/>
    <n v="5"/>
    <n v="0.17"/>
    <n v="143"/>
    <n v="2.84"/>
    <x v="0"/>
  </r>
  <r>
    <x v="0"/>
    <s v="船橋市"/>
    <x v="10"/>
    <x v="5"/>
    <n v="119"/>
    <n v="1.47"/>
    <n v="17"/>
    <n v="0.56999999999999995"/>
    <n v="102"/>
    <n v="2.0299999999999998"/>
    <x v="0"/>
  </r>
  <r>
    <x v="0"/>
    <s v="船橋市"/>
    <x v="10"/>
    <x v="6"/>
    <n v="1576"/>
    <n v="19.5"/>
    <n v="463"/>
    <n v="15.59"/>
    <n v="1113"/>
    <n v="22.12"/>
    <x v="0"/>
  </r>
  <r>
    <x v="0"/>
    <s v="船橋市"/>
    <x v="10"/>
    <x v="7"/>
    <n v="57"/>
    <n v="0.71"/>
    <n v="6"/>
    <n v="0.2"/>
    <n v="51"/>
    <n v="1.01"/>
    <x v="0"/>
  </r>
  <r>
    <x v="0"/>
    <s v="船橋市"/>
    <x v="10"/>
    <x v="8"/>
    <n v="962"/>
    <n v="11.9"/>
    <n v="123"/>
    <n v="4.1399999999999997"/>
    <n v="836"/>
    <n v="16.61"/>
    <x v="2"/>
  </r>
  <r>
    <x v="0"/>
    <s v="船橋市"/>
    <x v="10"/>
    <x v="9"/>
    <n v="571"/>
    <n v="7.06"/>
    <n v="207"/>
    <n v="6.97"/>
    <n v="362"/>
    <n v="7.19"/>
    <x v="0"/>
  </r>
  <r>
    <x v="0"/>
    <s v="船橋市"/>
    <x v="10"/>
    <x v="10"/>
    <n v="880"/>
    <n v="10.89"/>
    <n v="667"/>
    <n v="22.46"/>
    <n v="213"/>
    <n v="4.2300000000000004"/>
    <x v="0"/>
  </r>
  <r>
    <x v="0"/>
    <s v="船橋市"/>
    <x v="10"/>
    <x v="11"/>
    <n v="1135"/>
    <n v="14.04"/>
    <n v="721"/>
    <n v="24.28"/>
    <n v="354"/>
    <n v="7.03"/>
    <x v="7"/>
  </r>
  <r>
    <x v="0"/>
    <s v="船橋市"/>
    <x v="10"/>
    <x v="12"/>
    <n v="335"/>
    <n v="4.1399999999999997"/>
    <n v="190"/>
    <n v="6.4"/>
    <n v="142"/>
    <n v="2.82"/>
    <x v="1"/>
  </r>
  <r>
    <x v="0"/>
    <s v="船橋市"/>
    <x v="10"/>
    <x v="13"/>
    <n v="501"/>
    <n v="6.2"/>
    <n v="317"/>
    <n v="10.67"/>
    <n v="175"/>
    <n v="3.48"/>
    <x v="0"/>
  </r>
  <r>
    <x v="0"/>
    <s v="船橋市"/>
    <x v="10"/>
    <x v="14"/>
    <n v="293"/>
    <n v="3.62"/>
    <n v="45"/>
    <n v="1.52"/>
    <n v="246"/>
    <n v="4.8899999999999997"/>
    <x v="0"/>
  </r>
  <r>
    <x v="0"/>
    <s v="館山市"/>
    <x v="11"/>
    <x v="0"/>
    <n v="0"/>
    <n v="0"/>
    <n v="0"/>
    <n v="0"/>
    <n v="0"/>
    <n v="0"/>
    <x v="0"/>
  </r>
  <r>
    <x v="0"/>
    <s v="館山市"/>
    <x v="11"/>
    <x v="1"/>
    <n v="197"/>
    <n v="13.07"/>
    <n v="93"/>
    <n v="10.31"/>
    <n v="104"/>
    <n v="17.63"/>
    <x v="0"/>
  </r>
  <r>
    <x v="0"/>
    <s v="館山市"/>
    <x v="11"/>
    <x v="2"/>
    <n v="86"/>
    <n v="5.71"/>
    <n v="35"/>
    <n v="3.88"/>
    <n v="51"/>
    <n v="8.64"/>
    <x v="0"/>
  </r>
  <r>
    <x v="0"/>
    <s v="館山市"/>
    <x v="11"/>
    <x v="3"/>
    <n v="1"/>
    <n v="7.0000000000000007E-2"/>
    <n v="0"/>
    <n v="0"/>
    <n v="1"/>
    <n v="0.17"/>
    <x v="0"/>
  </r>
  <r>
    <x v="0"/>
    <s v="館山市"/>
    <x v="11"/>
    <x v="4"/>
    <n v="7"/>
    <n v="0.46"/>
    <n v="0"/>
    <n v="0"/>
    <n v="7"/>
    <n v="1.19"/>
    <x v="0"/>
  </r>
  <r>
    <x v="0"/>
    <s v="館山市"/>
    <x v="11"/>
    <x v="5"/>
    <n v="8"/>
    <n v="0.53"/>
    <n v="0"/>
    <n v="0"/>
    <n v="8"/>
    <n v="1.36"/>
    <x v="0"/>
  </r>
  <r>
    <x v="0"/>
    <s v="館山市"/>
    <x v="11"/>
    <x v="6"/>
    <n v="351"/>
    <n v="23.29"/>
    <n v="178"/>
    <n v="19.73"/>
    <n v="173"/>
    <n v="29.32"/>
    <x v="0"/>
  </r>
  <r>
    <x v="0"/>
    <s v="館山市"/>
    <x v="11"/>
    <x v="7"/>
    <n v="11"/>
    <n v="0.73"/>
    <n v="2"/>
    <n v="0.22"/>
    <n v="9"/>
    <n v="1.53"/>
    <x v="0"/>
  </r>
  <r>
    <x v="0"/>
    <s v="館山市"/>
    <x v="11"/>
    <x v="8"/>
    <n v="93"/>
    <n v="6.17"/>
    <n v="32"/>
    <n v="3.55"/>
    <n v="61"/>
    <n v="10.34"/>
    <x v="0"/>
  </r>
  <r>
    <x v="0"/>
    <s v="館山市"/>
    <x v="11"/>
    <x v="9"/>
    <n v="52"/>
    <n v="3.45"/>
    <n v="32"/>
    <n v="3.55"/>
    <n v="20"/>
    <n v="3.39"/>
    <x v="0"/>
  </r>
  <r>
    <x v="0"/>
    <s v="館山市"/>
    <x v="11"/>
    <x v="10"/>
    <n v="300"/>
    <n v="19.91"/>
    <n v="248"/>
    <n v="27.49"/>
    <n v="52"/>
    <n v="8.81"/>
    <x v="0"/>
  </r>
  <r>
    <x v="0"/>
    <s v="館山市"/>
    <x v="11"/>
    <x v="11"/>
    <n v="212"/>
    <n v="14.07"/>
    <n v="182"/>
    <n v="20.18"/>
    <n v="28"/>
    <n v="4.75"/>
    <x v="0"/>
  </r>
  <r>
    <x v="0"/>
    <s v="館山市"/>
    <x v="11"/>
    <x v="12"/>
    <n v="63"/>
    <n v="4.18"/>
    <n v="39"/>
    <n v="4.32"/>
    <n v="12"/>
    <n v="2.0299999999999998"/>
    <x v="0"/>
  </r>
  <r>
    <x v="0"/>
    <s v="館山市"/>
    <x v="11"/>
    <x v="13"/>
    <n v="69"/>
    <n v="4.58"/>
    <n v="42"/>
    <n v="4.66"/>
    <n v="27"/>
    <n v="4.58"/>
    <x v="0"/>
  </r>
  <r>
    <x v="0"/>
    <s v="館山市"/>
    <x v="11"/>
    <x v="14"/>
    <n v="57"/>
    <n v="3.78"/>
    <n v="19"/>
    <n v="2.11"/>
    <n v="37"/>
    <n v="6.27"/>
    <x v="0"/>
  </r>
  <r>
    <x v="0"/>
    <s v="木更津市"/>
    <x v="12"/>
    <x v="0"/>
    <n v="2"/>
    <n v="7.0000000000000007E-2"/>
    <n v="0"/>
    <n v="0"/>
    <n v="2"/>
    <n v="0.12"/>
    <x v="0"/>
  </r>
  <r>
    <x v="0"/>
    <s v="木更津市"/>
    <x v="12"/>
    <x v="1"/>
    <n v="481"/>
    <n v="16.97"/>
    <n v="79"/>
    <n v="6.65"/>
    <n v="402"/>
    <n v="24.6"/>
    <x v="0"/>
  </r>
  <r>
    <x v="0"/>
    <s v="木更津市"/>
    <x v="12"/>
    <x v="2"/>
    <n v="106"/>
    <n v="3.74"/>
    <n v="23"/>
    <n v="1.94"/>
    <n v="83"/>
    <n v="5.08"/>
    <x v="0"/>
  </r>
  <r>
    <x v="0"/>
    <s v="木更津市"/>
    <x v="12"/>
    <x v="3"/>
    <n v="6"/>
    <n v="0.21"/>
    <n v="0"/>
    <n v="0"/>
    <n v="6"/>
    <n v="0.37"/>
    <x v="0"/>
  </r>
  <r>
    <x v="0"/>
    <s v="木更津市"/>
    <x v="12"/>
    <x v="4"/>
    <n v="24"/>
    <n v="0.85"/>
    <n v="0"/>
    <n v="0"/>
    <n v="24"/>
    <n v="1.47"/>
    <x v="0"/>
  </r>
  <r>
    <x v="0"/>
    <s v="木更津市"/>
    <x v="12"/>
    <x v="5"/>
    <n v="44"/>
    <n v="1.55"/>
    <n v="2"/>
    <n v="0.17"/>
    <n v="42"/>
    <n v="2.57"/>
    <x v="0"/>
  </r>
  <r>
    <x v="0"/>
    <s v="木更津市"/>
    <x v="12"/>
    <x v="6"/>
    <n v="669"/>
    <n v="23.6"/>
    <n v="203"/>
    <n v="17.09"/>
    <n v="466"/>
    <n v="28.52"/>
    <x v="0"/>
  </r>
  <r>
    <x v="0"/>
    <s v="木更津市"/>
    <x v="12"/>
    <x v="7"/>
    <n v="27"/>
    <n v="0.95"/>
    <n v="4"/>
    <n v="0.34"/>
    <n v="23"/>
    <n v="1.41"/>
    <x v="0"/>
  </r>
  <r>
    <x v="0"/>
    <s v="木更津市"/>
    <x v="12"/>
    <x v="8"/>
    <n v="194"/>
    <n v="6.84"/>
    <n v="21"/>
    <n v="1.77"/>
    <n v="173"/>
    <n v="10.59"/>
    <x v="0"/>
  </r>
  <r>
    <x v="0"/>
    <s v="木更津市"/>
    <x v="12"/>
    <x v="9"/>
    <n v="145"/>
    <n v="5.1100000000000003"/>
    <n v="65"/>
    <n v="5.47"/>
    <n v="79"/>
    <n v="4.83"/>
    <x v="0"/>
  </r>
  <r>
    <x v="0"/>
    <s v="木更津市"/>
    <x v="12"/>
    <x v="10"/>
    <n v="407"/>
    <n v="14.36"/>
    <n v="321"/>
    <n v="27.02"/>
    <n v="85"/>
    <n v="5.2"/>
    <x v="0"/>
  </r>
  <r>
    <x v="0"/>
    <s v="木更津市"/>
    <x v="12"/>
    <x v="11"/>
    <n v="390"/>
    <n v="13.76"/>
    <n v="296"/>
    <n v="24.92"/>
    <n v="94"/>
    <n v="5.75"/>
    <x v="0"/>
  </r>
  <r>
    <x v="0"/>
    <s v="木更津市"/>
    <x v="12"/>
    <x v="12"/>
    <n v="91"/>
    <n v="3.21"/>
    <n v="57"/>
    <n v="4.8"/>
    <n v="24"/>
    <n v="1.47"/>
    <x v="0"/>
  </r>
  <r>
    <x v="0"/>
    <s v="木更津市"/>
    <x v="12"/>
    <x v="13"/>
    <n v="142"/>
    <n v="5.01"/>
    <n v="84"/>
    <n v="7.07"/>
    <n v="57"/>
    <n v="3.49"/>
    <x v="0"/>
  </r>
  <r>
    <x v="0"/>
    <s v="木更津市"/>
    <x v="12"/>
    <x v="14"/>
    <n v="107"/>
    <n v="3.77"/>
    <n v="33"/>
    <n v="2.78"/>
    <n v="74"/>
    <n v="4.53"/>
    <x v="0"/>
  </r>
  <r>
    <x v="0"/>
    <s v="松戸市"/>
    <x v="13"/>
    <x v="0"/>
    <n v="1"/>
    <n v="0.01"/>
    <n v="0"/>
    <n v="0"/>
    <n v="1"/>
    <n v="0.02"/>
    <x v="0"/>
  </r>
  <r>
    <x v="0"/>
    <s v="松戸市"/>
    <x v="13"/>
    <x v="1"/>
    <n v="1017"/>
    <n v="13.63"/>
    <n v="112"/>
    <n v="3.73"/>
    <n v="905"/>
    <n v="20.440000000000001"/>
    <x v="0"/>
  </r>
  <r>
    <x v="0"/>
    <s v="松戸市"/>
    <x v="13"/>
    <x v="2"/>
    <n v="505"/>
    <n v="6.77"/>
    <n v="115"/>
    <n v="3.83"/>
    <n v="389"/>
    <n v="8.7899999999999991"/>
    <x v="1"/>
  </r>
  <r>
    <x v="0"/>
    <s v="松戸市"/>
    <x v="13"/>
    <x v="3"/>
    <n v="6"/>
    <n v="0.08"/>
    <n v="1"/>
    <n v="0.03"/>
    <n v="5"/>
    <n v="0.11"/>
    <x v="0"/>
  </r>
  <r>
    <x v="0"/>
    <s v="松戸市"/>
    <x v="13"/>
    <x v="4"/>
    <n v="135"/>
    <n v="1.81"/>
    <n v="4"/>
    <n v="0.13"/>
    <n v="131"/>
    <n v="2.96"/>
    <x v="0"/>
  </r>
  <r>
    <x v="0"/>
    <s v="松戸市"/>
    <x v="13"/>
    <x v="5"/>
    <n v="67"/>
    <n v="0.9"/>
    <n v="7"/>
    <n v="0.23"/>
    <n v="60"/>
    <n v="1.36"/>
    <x v="0"/>
  </r>
  <r>
    <x v="0"/>
    <s v="松戸市"/>
    <x v="13"/>
    <x v="6"/>
    <n v="1453"/>
    <n v="19.48"/>
    <n v="463"/>
    <n v="15.4"/>
    <n v="990"/>
    <n v="22.36"/>
    <x v="0"/>
  </r>
  <r>
    <x v="0"/>
    <s v="松戸市"/>
    <x v="13"/>
    <x v="7"/>
    <n v="34"/>
    <n v="0.46"/>
    <n v="4"/>
    <n v="0.13"/>
    <n v="30"/>
    <n v="0.68"/>
    <x v="0"/>
  </r>
  <r>
    <x v="0"/>
    <s v="松戸市"/>
    <x v="13"/>
    <x v="8"/>
    <n v="922"/>
    <n v="12.36"/>
    <n v="212"/>
    <n v="7.05"/>
    <n v="708"/>
    <n v="15.99"/>
    <x v="7"/>
  </r>
  <r>
    <x v="0"/>
    <s v="松戸市"/>
    <x v="13"/>
    <x v="9"/>
    <n v="437"/>
    <n v="5.86"/>
    <n v="172"/>
    <n v="5.72"/>
    <n v="263"/>
    <n v="5.94"/>
    <x v="1"/>
  </r>
  <r>
    <x v="0"/>
    <s v="松戸市"/>
    <x v="13"/>
    <x v="10"/>
    <n v="859"/>
    <n v="11.52"/>
    <n v="681"/>
    <n v="22.65"/>
    <n v="178"/>
    <n v="4.0199999999999996"/>
    <x v="0"/>
  </r>
  <r>
    <x v="0"/>
    <s v="松戸市"/>
    <x v="13"/>
    <x v="11"/>
    <n v="1019"/>
    <n v="13.66"/>
    <n v="714"/>
    <n v="23.75"/>
    <n v="302"/>
    <n v="6.82"/>
    <x v="7"/>
  </r>
  <r>
    <x v="0"/>
    <s v="松戸市"/>
    <x v="13"/>
    <x v="12"/>
    <n v="311"/>
    <n v="4.17"/>
    <n v="191"/>
    <n v="6.35"/>
    <n v="107"/>
    <n v="2.42"/>
    <x v="0"/>
  </r>
  <r>
    <x v="0"/>
    <s v="松戸市"/>
    <x v="13"/>
    <x v="13"/>
    <n v="460"/>
    <n v="6.17"/>
    <n v="284"/>
    <n v="9.4499999999999993"/>
    <n v="174"/>
    <n v="3.93"/>
    <x v="0"/>
  </r>
  <r>
    <x v="0"/>
    <s v="松戸市"/>
    <x v="13"/>
    <x v="14"/>
    <n v="233"/>
    <n v="3.12"/>
    <n v="46"/>
    <n v="1.53"/>
    <n v="185"/>
    <n v="4.18"/>
    <x v="0"/>
  </r>
  <r>
    <x v="0"/>
    <s v="野田市"/>
    <x v="14"/>
    <x v="0"/>
    <n v="0"/>
    <n v="0"/>
    <n v="0"/>
    <n v="0"/>
    <n v="0"/>
    <n v="0"/>
    <x v="0"/>
  </r>
  <r>
    <x v="0"/>
    <s v="野田市"/>
    <x v="14"/>
    <x v="1"/>
    <n v="487"/>
    <n v="17.7"/>
    <n v="124"/>
    <n v="10.74"/>
    <n v="363"/>
    <n v="23.3"/>
    <x v="0"/>
  </r>
  <r>
    <x v="0"/>
    <s v="野田市"/>
    <x v="14"/>
    <x v="2"/>
    <n v="332"/>
    <n v="12.07"/>
    <n v="67"/>
    <n v="5.8"/>
    <n v="264"/>
    <n v="16.940000000000001"/>
    <x v="1"/>
  </r>
  <r>
    <x v="0"/>
    <s v="野田市"/>
    <x v="14"/>
    <x v="3"/>
    <n v="5"/>
    <n v="0.18"/>
    <n v="0"/>
    <n v="0"/>
    <n v="5"/>
    <n v="0.32"/>
    <x v="0"/>
  </r>
  <r>
    <x v="0"/>
    <s v="野田市"/>
    <x v="14"/>
    <x v="4"/>
    <n v="19"/>
    <n v="0.69"/>
    <n v="1"/>
    <n v="0.09"/>
    <n v="18"/>
    <n v="1.1599999999999999"/>
    <x v="0"/>
  </r>
  <r>
    <x v="0"/>
    <s v="野田市"/>
    <x v="14"/>
    <x v="5"/>
    <n v="50"/>
    <n v="1.82"/>
    <n v="2"/>
    <n v="0.17"/>
    <n v="48"/>
    <n v="3.08"/>
    <x v="0"/>
  </r>
  <r>
    <x v="0"/>
    <s v="野田市"/>
    <x v="14"/>
    <x v="6"/>
    <n v="593"/>
    <n v="21.56"/>
    <n v="210"/>
    <n v="18.18"/>
    <n v="382"/>
    <n v="24.52"/>
    <x v="1"/>
  </r>
  <r>
    <x v="0"/>
    <s v="野田市"/>
    <x v="14"/>
    <x v="7"/>
    <n v="14"/>
    <n v="0.51"/>
    <n v="0"/>
    <n v="0"/>
    <n v="14"/>
    <n v="0.9"/>
    <x v="0"/>
  </r>
  <r>
    <x v="0"/>
    <s v="野田市"/>
    <x v="14"/>
    <x v="8"/>
    <n v="244"/>
    <n v="8.8699999999999992"/>
    <n v="78"/>
    <n v="6.75"/>
    <n v="165"/>
    <n v="10.59"/>
    <x v="0"/>
  </r>
  <r>
    <x v="0"/>
    <s v="野田市"/>
    <x v="14"/>
    <x v="9"/>
    <n v="102"/>
    <n v="3.71"/>
    <n v="47"/>
    <n v="4.07"/>
    <n v="52"/>
    <n v="3.34"/>
    <x v="0"/>
  </r>
  <r>
    <x v="0"/>
    <s v="野田市"/>
    <x v="14"/>
    <x v="10"/>
    <n v="236"/>
    <n v="8.58"/>
    <n v="195"/>
    <n v="16.88"/>
    <n v="39"/>
    <n v="2.5"/>
    <x v="0"/>
  </r>
  <r>
    <x v="0"/>
    <s v="野田市"/>
    <x v="14"/>
    <x v="11"/>
    <n v="330"/>
    <n v="12"/>
    <n v="259"/>
    <n v="22.42"/>
    <n v="71"/>
    <n v="4.5599999999999996"/>
    <x v="0"/>
  </r>
  <r>
    <x v="0"/>
    <s v="野田市"/>
    <x v="14"/>
    <x v="12"/>
    <n v="88"/>
    <n v="3.2"/>
    <n v="53"/>
    <n v="4.59"/>
    <n v="24"/>
    <n v="1.54"/>
    <x v="0"/>
  </r>
  <r>
    <x v="0"/>
    <s v="野田市"/>
    <x v="14"/>
    <x v="13"/>
    <n v="142"/>
    <n v="5.16"/>
    <n v="79"/>
    <n v="6.84"/>
    <n v="45"/>
    <n v="2.89"/>
    <x v="1"/>
  </r>
  <r>
    <x v="0"/>
    <s v="野田市"/>
    <x v="14"/>
    <x v="14"/>
    <n v="109"/>
    <n v="3.96"/>
    <n v="40"/>
    <n v="3.46"/>
    <n v="68"/>
    <n v="4.3600000000000003"/>
    <x v="0"/>
  </r>
  <r>
    <x v="0"/>
    <s v="茂原市"/>
    <x v="15"/>
    <x v="0"/>
    <n v="1"/>
    <n v="0.05"/>
    <n v="0"/>
    <n v="0"/>
    <n v="1"/>
    <n v="0.11"/>
    <x v="0"/>
  </r>
  <r>
    <x v="0"/>
    <s v="茂原市"/>
    <x v="15"/>
    <x v="1"/>
    <n v="261"/>
    <n v="14.34"/>
    <n v="68"/>
    <n v="7.4"/>
    <n v="192"/>
    <n v="21.55"/>
    <x v="1"/>
  </r>
  <r>
    <x v="0"/>
    <s v="茂原市"/>
    <x v="15"/>
    <x v="2"/>
    <n v="91"/>
    <n v="5"/>
    <n v="23"/>
    <n v="2.5"/>
    <n v="68"/>
    <n v="7.63"/>
    <x v="0"/>
  </r>
  <r>
    <x v="0"/>
    <s v="茂原市"/>
    <x v="15"/>
    <x v="3"/>
    <n v="7"/>
    <n v="0.38"/>
    <n v="0"/>
    <n v="0"/>
    <n v="6"/>
    <n v="0.67"/>
    <x v="0"/>
  </r>
  <r>
    <x v="0"/>
    <s v="茂原市"/>
    <x v="15"/>
    <x v="4"/>
    <n v="18"/>
    <n v="0.99"/>
    <n v="1"/>
    <n v="0.11"/>
    <n v="17"/>
    <n v="1.91"/>
    <x v="0"/>
  </r>
  <r>
    <x v="0"/>
    <s v="茂原市"/>
    <x v="15"/>
    <x v="5"/>
    <n v="10"/>
    <n v="0.55000000000000004"/>
    <n v="3"/>
    <n v="0.33"/>
    <n v="7"/>
    <n v="0.79"/>
    <x v="0"/>
  </r>
  <r>
    <x v="0"/>
    <s v="茂原市"/>
    <x v="15"/>
    <x v="6"/>
    <n v="411"/>
    <n v="22.58"/>
    <n v="181"/>
    <n v="19.7"/>
    <n v="230"/>
    <n v="25.81"/>
    <x v="0"/>
  </r>
  <r>
    <x v="0"/>
    <s v="茂原市"/>
    <x v="15"/>
    <x v="7"/>
    <n v="20"/>
    <n v="1.1000000000000001"/>
    <n v="4"/>
    <n v="0.44"/>
    <n v="16"/>
    <n v="1.8"/>
    <x v="0"/>
  </r>
  <r>
    <x v="0"/>
    <s v="茂原市"/>
    <x v="15"/>
    <x v="8"/>
    <n v="142"/>
    <n v="7.8"/>
    <n v="7"/>
    <n v="0.76"/>
    <n v="135"/>
    <n v="15.15"/>
    <x v="0"/>
  </r>
  <r>
    <x v="0"/>
    <s v="茂原市"/>
    <x v="15"/>
    <x v="9"/>
    <n v="85"/>
    <n v="4.67"/>
    <n v="39"/>
    <n v="4.24"/>
    <n v="45"/>
    <n v="5.05"/>
    <x v="1"/>
  </r>
  <r>
    <x v="0"/>
    <s v="茂原市"/>
    <x v="15"/>
    <x v="10"/>
    <n v="242"/>
    <n v="13.3"/>
    <n v="203"/>
    <n v="22.09"/>
    <n v="39"/>
    <n v="4.38"/>
    <x v="0"/>
  </r>
  <r>
    <x v="0"/>
    <s v="茂原市"/>
    <x v="15"/>
    <x v="11"/>
    <n v="311"/>
    <n v="17.09"/>
    <n v="252"/>
    <n v="27.42"/>
    <n v="58"/>
    <n v="6.51"/>
    <x v="0"/>
  </r>
  <r>
    <x v="0"/>
    <s v="茂原市"/>
    <x v="15"/>
    <x v="12"/>
    <n v="58"/>
    <n v="3.19"/>
    <n v="35"/>
    <n v="3.81"/>
    <n v="18"/>
    <n v="2.02"/>
    <x v="0"/>
  </r>
  <r>
    <x v="0"/>
    <s v="茂原市"/>
    <x v="15"/>
    <x v="13"/>
    <n v="100"/>
    <n v="5.49"/>
    <n v="74"/>
    <n v="8.0500000000000007"/>
    <n v="25"/>
    <n v="2.81"/>
    <x v="1"/>
  </r>
  <r>
    <x v="0"/>
    <s v="茂原市"/>
    <x v="15"/>
    <x v="14"/>
    <n v="63"/>
    <n v="3.46"/>
    <n v="29"/>
    <n v="3.16"/>
    <n v="34"/>
    <n v="3.82"/>
    <x v="0"/>
  </r>
  <r>
    <x v="0"/>
    <s v="成田市"/>
    <x v="16"/>
    <x v="0"/>
    <n v="1"/>
    <n v="0.04"/>
    <n v="0"/>
    <n v="0"/>
    <n v="1"/>
    <n v="0.06"/>
    <x v="0"/>
  </r>
  <r>
    <x v="0"/>
    <s v="成田市"/>
    <x v="16"/>
    <x v="1"/>
    <n v="346"/>
    <n v="13.65"/>
    <n v="72"/>
    <n v="8.02"/>
    <n v="274"/>
    <n v="17.149999999999999"/>
    <x v="0"/>
  </r>
  <r>
    <x v="0"/>
    <s v="成田市"/>
    <x v="16"/>
    <x v="2"/>
    <n v="137"/>
    <n v="5.41"/>
    <n v="28"/>
    <n v="3.12"/>
    <n v="109"/>
    <n v="6.82"/>
    <x v="0"/>
  </r>
  <r>
    <x v="0"/>
    <s v="成田市"/>
    <x v="16"/>
    <x v="3"/>
    <n v="7"/>
    <n v="0.28000000000000003"/>
    <n v="0"/>
    <n v="0"/>
    <n v="7"/>
    <n v="0.44"/>
    <x v="0"/>
  </r>
  <r>
    <x v="0"/>
    <s v="成田市"/>
    <x v="16"/>
    <x v="4"/>
    <n v="24"/>
    <n v="0.95"/>
    <n v="0"/>
    <n v="0"/>
    <n v="24"/>
    <n v="1.5"/>
    <x v="0"/>
  </r>
  <r>
    <x v="0"/>
    <s v="成田市"/>
    <x v="16"/>
    <x v="5"/>
    <n v="109"/>
    <n v="4.3"/>
    <n v="0"/>
    <n v="0"/>
    <n v="109"/>
    <n v="6.82"/>
    <x v="0"/>
  </r>
  <r>
    <x v="0"/>
    <s v="成田市"/>
    <x v="16"/>
    <x v="6"/>
    <n v="589"/>
    <n v="23.24"/>
    <n v="137"/>
    <n v="15.26"/>
    <n v="451"/>
    <n v="28.22"/>
    <x v="1"/>
  </r>
  <r>
    <x v="0"/>
    <s v="成田市"/>
    <x v="16"/>
    <x v="7"/>
    <n v="23"/>
    <n v="0.91"/>
    <n v="5"/>
    <n v="0.56000000000000005"/>
    <n v="18"/>
    <n v="1.1299999999999999"/>
    <x v="0"/>
  </r>
  <r>
    <x v="0"/>
    <s v="成田市"/>
    <x v="16"/>
    <x v="8"/>
    <n v="246"/>
    <n v="9.7100000000000009"/>
    <n v="38"/>
    <n v="4.2300000000000004"/>
    <n v="206"/>
    <n v="12.89"/>
    <x v="7"/>
  </r>
  <r>
    <x v="0"/>
    <s v="成田市"/>
    <x v="16"/>
    <x v="9"/>
    <n v="112"/>
    <n v="4.42"/>
    <n v="47"/>
    <n v="5.23"/>
    <n v="65"/>
    <n v="4.07"/>
    <x v="0"/>
  </r>
  <r>
    <x v="0"/>
    <s v="成田市"/>
    <x v="16"/>
    <x v="10"/>
    <n v="297"/>
    <n v="11.72"/>
    <n v="194"/>
    <n v="21.6"/>
    <n v="97"/>
    <n v="6.07"/>
    <x v="0"/>
  </r>
  <r>
    <x v="0"/>
    <s v="成田市"/>
    <x v="16"/>
    <x v="11"/>
    <n v="332"/>
    <n v="13.1"/>
    <n v="231"/>
    <n v="25.72"/>
    <n v="95"/>
    <n v="5.94"/>
    <x v="0"/>
  </r>
  <r>
    <x v="0"/>
    <s v="成田市"/>
    <x v="16"/>
    <x v="12"/>
    <n v="91"/>
    <n v="3.59"/>
    <n v="42"/>
    <n v="4.68"/>
    <n v="34"/>
    <n v="2.13"/>
    <x v="0"/>
  </r>
  <r>
    <x v="0"/>
    <s v="成田市"/>
    <x v="16"/>
    <x v="13"/>
    <n v="119"/>
    <n v="4.7"/>
    <n v="78"/>
    <n v="8.69"/>
    <n v="37"/>
    <n v="2.3199999999999998"/>
    <x v="0"/>
  </r>
  <r>
    <x v="0"/>
    <s v="成田市"/>
    <x v="16"/>
    <x v="14"/>
    <n v="101"/>
    <n v="3.99"/>
    <n v="26"/>
    <n v="2.9"/>
    <n v="71"/>
    <n v="4.4400000000000004"/>
    <x v="0"/>
  </r>
  <r>
    <x v="0"/>
    <s v="佐倉市"/>
    <x v="17"/>
    <x v="0"/>
    <n v="1"/>
    <n v="0.04"/>
    <n v="0"/>
    <n v="0"/>
    <n v="1"/>
    <n v="7.0000000000000007E-2"/>
    <x v="0"/>
  </r>
  <r>
    <x v="0"/>
    <s v="佐倉市"/>
    <x v="17"/>
    <x v="1"/>
    <n v="340"/>
    <n v="13.8"/>
    <n v="59"/>
    <n v="5.77"/>
    <n v="281"/>
    <n v="19.62"/>
    <x v="0"/>
  </r>
  <r>
    <x v="0"/>
    <s v="佐倉市"/>
    <x v="17"/>
    <x v="2"/>
    <n v="125"/>
    <n v="5.08"/>
    <n v="24"/>
    <n v="2.35"/>
    <n v="101"/>
    <n v="7.05"/>
    <x v="0"/>
  </r>
  <r>
    <x v="0"/>
    <s v="佐倉市"/>
    <x v="17"/>
    <x v="3"/>
    <n v="8"/>
    <n v="0.32"/>
    <n v="0"/>
    <n v="0"/>
    <n v="8"/>
    <n v="0.56000000000000005"/>
    <x v="0"/>
  </r>
  <r>
    <x v="0"/>
    <s v="佐倉市"/>
    <x v="17"/>
    <x v="4"/>
    <n v="39"/>
    <n v="1.58"/>
    <n v="0"/>
    <n v="0"/>
    <n v="39"/>
    <n v="2.72"/>
    <x v="0"/>
  </r>
  <r>
    <x v="0"/>
    <s v="佐倉市"/>
    <x v="17"/>
    <x v="5"/>
    <n v="20"/>
    <n v="0.81"/>
    <n v="2"/>
    <n v="0.2"/>
    <n v="18"/>
    <n v="1.26"/>
    <x v="0"/>
  </r>
  <r>
    <x v="0"/>
    <s v="佐倉市"/>
    <x v="17"/>
    <x v="6"/>
    <n v="520"/>
    <n v="21.11"/>
    <n v="160"/>
    <n v="15.66"/>
    <n v="359"/>
    <n v="25.07"/>
    <x v="1"/>
  </r>
  <r>
    <x v="0"/>
    <s v="佐倉市"/>
    <x v="17"/>
    <x v="7"/>
    <n v="20"/>
    <n v="0.81"/>
    <n v="4"/>
    <n v="0.39"/>
    <n v="15"/>
    <n v="1.05"/>
    <x v="0"/>
  </r>
  <r>
    <x v="0"/>
    <s v="佐倉市"/>
    <x v="17"/>
    <x v="8"/>
    <n v="206"/>
    <n v="8.36"/>
    <n v="27"/>
    <n v="2.64"/>
    <n v="178"/>
    <n v="12.43"/>
    <x v="0"/>
  </r>
  <r>
    <x v="0"/>
    <s v="佐倉市"/>
    <x v="17"/>
    <x v="9"/>
    <n v="184"/>
    <n v="7.47"/>
    <n v="88"/>
    <n v="8.61"/>
    <n v="96"/>
    <n v="6.7"/>
    <x v="0"/>
  </r>
  <r>
    <x v="0"/>
    <s v="佐倉市"/>
    <x v="17"/>
    <x v="10"/>
    <n v="274"/>
    <n v="11.12"/>
    <n v="202"/>
    <n v="19.77"/>
    <n v="72"/>
    <n v="5.03"/>
    <x v="0"/>
  </r>
  <r>
    <x v="0"/>
    <s v="佐倉市"/>
    <x v="17"/>
    <x v="11"/>
    <n v="362"/>
    <n v="14.7"/>
    <n v="260"/>
    <n v="25.44"/>
    <n v="102"/>
    <n v="7.12"/>
    <x v="0"/>
  </r>
  <r>
    <x v="0"/>
    <s v="佐倉市"/>
    <x v="17"/>
    <x v="12"/>
    <n v="122"/>
    <n v="4.95"/>
    <n v="80"/>
    <n v="7.83"/>
    <n v="39"/>
    <n v="2.72"/>
    <x v="0"/>
  </r>
  <r>
    <x v="0"/>
    <s v="佐倉市"/>
    <x v="17"/>
    <x v="13"/>
    <n v="144"/>
    <n v="5.85"/>
    <n v="87"/>
    <n v="8.51"/>
    <n v="56"/>
    <n v="3.91"/>
    <x v="0"/>
  </r>
  <r>
    <x v="0"/>
    <s v="佐倉市"/>
    <x v="17"/>
    <x v="14"/>
    <n v="98"/>
    <n v="3.98"/>
    <n v="29"/>
    <n v="2.84"/>
    <n v="67"/>
    <n v="4.68"/>
    <x v="0"/>
  </r>
  <r>
    <x v="0"/>
    <s v="東金市"/>
    <x v="18"/>
    <x v="0"/>
    <n v="1"/>
    <n v="0.08"/>
    <n v="0"/>
    <n v="0"/>
    <n v="1"/>
    <n v="0.15"/>
    <x v="0"/>
  </r>
  <r>
    <x v="0"/>
    <s v="東金市"/>
    <x v="18"/>
    <x v="1"/>
    <n v="230"/>
    <n v="17.61"/>
    <n v="56"/>
    <n v="9.02"/>
    <n v="174"/>
    <n v="26.28"/>
    <x v="0"/>
  </r>
  <r>
    <x v="0"/>
    <s v="東金市"/>
    <x v="18"/>
    <x v="2"/>
    <n v="83"/>
    <n v="6.36"/>
    <n v="26"/>
    <n v="4.1900000000000004"/>
    <n v="57"/>
    <n v="8.61"/>
    <x v="0"/>
  </r>
  <r>
    <x v="0"/>
    <s v="東金市"/>
    <x v="18"/>
    <x v="3"/>
    <n v="2"/>
    <n v="0.15"/>
    <n v="0"/>
    <n v="0"/>
    <n v="2"/>
    <n v="0.3"/>
    <x v="0"/>
  </r>
  <r>
    <x v="0"/>
    <s v="東金市"/>
    <x v="18"/>
    <x v="4"/>
    <n v="11"/>
    <n v="0.84"/>
    <n v="0"/>
    <n v="0"/>
    <n v="11"/>
    <n v="1.66"/>
    <x v="0"/>
  </r>
  <r>
    <x v="0"/>
    <s v="東金市"/>
    <x v="18"/>
    <x v="5"/>
    <n v="9"/>
    <n v="0.69"/>
    <n v="2"/>
    <n v="0.32"/>
    <n v="7"/>
    <n v="1.06"/>
    <x v="0"/>
  </r>
  <r>
    <x v="0"/>
    <s v="東金市"/>
    <x v="18"/>
    <x v="6"/>
    <n v="262"/>
    <n v="20.059999999999999"/>
    <n v="101"/>
    <n v="16.260000000000002"/>
    <n v="160"/>
    <n v="24.17"/>
    <x v="1"/>
  </r>
  <r>
    <x v="0"/>
    <s v="東金市"/>
    <x v="18"/>
    <x v="7"/>
    <n v="13"/>
    <n v="1"/>
    <n v="4"/>
    <n v="0.64"/>
    <n v="9"/>
    <n v="1.36"/>
    <x v="0"/>
  </r>
  <r>
    <x v="0"/>
    <s v="東金市"/>
    <x v="18"/>
    <x v="8"/>
    <n v="124"/>
    <n v="9.49"/>
    <n v="37"/>
    <n v="5.96"/>
    <n v="87"/>
    <n v="13.14"/>
    <x v="0"/>
  </r>
  <r>
    <x v="0"/>
    <s v="東金市"/>
    <x v="18"/>
    <x v="9"/>
    <n v="50"/>
    <n v="3.83"/>
    <n v="32"/>
    <n v="5.15"/>
    <n v="18"/>
    <n v="2.72"/>
    <x v="0"/>
  </r>
  <r>
    <x v="0"/>
    <s v="東金市"/>
    <x v="18"/>
    <x v="10"/>
    <n v="157"/>
    <n v="12.02"/>
    <n v="123"/>
    <n v="19.809999999999999"/>
    <n v="34"/>
    <n v="5.14"/>
    <x v="0"/>
  </r>
  <r>
    <x v="0"/>
    <s v="東金市"/>
    <x v="18"/>
    <x v="11"/>
    <n v="176"/>
    <n v="13.48"/>
    <n v="135"/>
    <n v="21.74"/>
    <n v="41"/>
    <n v="6.19"/>
    <x v="0"/>
  </r>
  <r>
    <x v="0"/>
    <s v="東金市"/>
    <x v="18"/>
    <x v="12"/>
    <n v="49"/>
    <n v="3.75"/>
    <n v="32"/>
    <n v="5.15"/>
    <n v="6"/>
    <n v="0.91"/>
    <x v="0"/>
  </r>
  <r>
    <x v="0"/>
    <s v="東金市"/>
    <x v="18"/>
    <x v="13"/>
    <n v="67"/>
    <n v="5.13"/>
    <n v="38"/>
    <n v="6.12"/>
    <n v="19"/>
    <n v="2.87"/>
    <x v="0"/>
  </r>
  <r>
    <x v="0"/>
    <s v="東金市"/>
    <x v="18"/>
    <x v="14"/>
    <n v="72"/>
    <n v="5.51"/>
    <n v="35"/>
    <n v="5.64"/>
    <n v="36"/>
    <n v="5.44"/>
    <x v="0"/>
  </r>
  <r>
    <x v="0"/>
    <s v="旭市"/>
    <x v="19"/>
    <x v="0"/>
    <n v="2"/>
    <n v="0.11"/>
    <n v="1"/>
    <n v="0.09"/>
    <n v="1"/>
    <n v="0.16"/>
    <x v="0"/>
  </r>
  <r>
    <x v="0"/>
    <s v="旭市"/>
    <x v="19"/>
    <x v="1"/>
    <n v="351"/>
    <n v="19.72"/>
    <n v="173"/>
    <n v="15.27"/>
    <n v="178"/>
    <n v="28.8"/>
    <x v="0"/>
  </r>
  <r>
    <x v="0"/>
    <s v="旭市"/>
    <x v="19"/>
    <x v="2"/>
    <n v="150"/>
    <n v="8.43"/>
    <n v="75"/>
    <n v="6.62"/>
    <n v="75"/>
    <n v="12.14"/>
    <x v="0"/>
  </r>
  <r>
    <x v="0"/>
    <s v="旭市"/>
    <x v="19"/>
    <x v="3"/>
    <n v="3"/>
    <n v="0.17"/>
    <n v="0"/>
    <n v="0"/>
    <n v="3"/>
    <n v="0.49"/>
    <x v="0"/>
  </r>
  <r>
    <x v="0"/>
    <s v="旭市"/>
    <x v="19"/>
    <x v="4"/>
    <n v="3"/>
    <n v="0.17"/>
    <n v="0"/>
    <n v="0"/>
    <n v="3"/>
    <n v="0.49"/>
    <x v="0"/>
  </r>
  <r>
    <x v="0"/>
    <s v="旭市"/>
    <x v="19"/>
    <x v="5"/>
    <n v="19"/>
    <n v="1.07"/>
    <n v="7"/>
    <n v="0.62"/>
    <n v="11"/>
    <n v="1.78"/>
    <x v="1"/>
  </r>
  <r>
    <x v="0"/>
    <s v="旭市"/>
    <x v="19"/>
    <x v="6"/>
    <n v="417"/>
    <n v="23.43"/>
    <n v="240"/>
    <n v="21.18"/>
    <n v="175"/>
    <n v="28.32"/>
    <x v="7"/>
  </r>
  <r>
    <x v="0"/>
    <s v="旭市"/>
    <x v="19"/>
    <x v="7"/>
    <n v="14"/>
    <n v="0.79"/>
    <n v="3"/>
    <n v="0.26"/>
    <n v="11"/>
    <n v="1.78"/>
    <x v="0"/>
  </r>
  <r>
    <x v="0"/>
    <s v="旭市"/>
    <x v="19"/>
    <x v="8"/>
    <n v="89"/>
    <n v="5"/>
    <n v="30"/>
    <n v="2.65"/>
    <n v="58"/>
    <n v="9.39"/>
    <x v="0"/>
  </r>
  <r>
    <x v="0"/>
    <s v="旭市"/>
    <x v="19"/>
    <x v="9"/>
    <n v="47"/>
    <n v="2.64"/>
    <n v="35"/>
    <n v="3.09"/>
    <n v="11"/>
    <n v="1.78"/>
    <x v="0"/>
  </r>
  <r>
    <x v="0"/>
    <s v="旭市"/>
    <x v="19"/>
    <x v="10"/>
    <n v="243"/>
    <n v="13.65"/>
    <n v="219"/>
    <n v="19.329999999999998"/>
    <n v="22"/>
    <n v="3.56"/>
    <x v="0"/>
  </r>
  <r>
    <x v="0"/>
    <s v="旭市"/>
    <x v="19"/>
    <x v="11"/>
    <n v="232"/>
    <n v="13.03"/>
    <n v="208"/>
    <n v="18.36"/>
    <n v="22"/>
    <n v="3.56"/>
    <x v="0"/>
  </r>
  <r>
    <x v="0"/>
    <s v="旭市"/>
    <x v="19"/>
    <x v="12"/>
    <n v="56"/>
    <n v="3.15"/>
    <n v="37"/>
    <n v="3.27"/>
    <n v="13"/>
    <n v="2.1"/>
    <x v="0"/>
  </r>
  <r>
    <x v="0"/>
    <s v="旭市"/>
    <x v="19"/>
    <x v="13"/>
    <n v="79"/>
    <n v="4.4400000000000004"/>
    <n v="57"/>
    <n v="5.03"/>
    <n v="13"/>
    <n v="2.1"/>
    <x v="0"/>
  </r>
  <r>
    <x v="0"/>
    <s v="旭市"/>
    <x v="19"/>
    <x v="14"/>
    <n v="75"/>
    <n v="4.21"/>
    <n v="48"/>
    <n v="4.24"/>
    <n v="22"/>
    <n v="3.56"/>
    <x v="0"/>
  </r>
  <r>
    <x v="0"/>
    <s v="習志野市"/>
    <x v="20"/>
    <x v="0"/>
    <n v="0"/>
    <n v="0"/>
    <n v="0"/>
    <n v="0"/>
    <n v="0"/>
    <n v="0"/>
    <x v="0"/>
  </r>
  <r>
    <x v="0"/>
    <s v="習志野市"/>
    <x v="20"/>
    <x v="1"/>
    <n v="214"/>
    <n v="10.45"/>
    <n v="24"/>
    <n v="2.84"/>
    <n v="190"/>
    <n v="15.89"/>
    <x v="0"/>
  </r>
  <r>
    <x v="0"/>
    <s v="習志野市"/>
    <x v="20"/>
    <x v="2"/>
    <n v="72"/>
    <n v="3.52"/>
    <n v="11"/>
    <n v="1.3"/>
    <n v="61"/>
    <n v="5.0999999999999996"/>
    <x v="0"/>
  </r>
  <r>
    <x v="0"/>
    <s v="習志野市"/>
    <x v="20"/>
    <x v="3"/>
    <n v="1"/>
    <n v="0.05"/>
    <n v="0"/>
    <n v="0"/>
    <n v="1"/>
    <n v="0.08"/>
    <x v="0"/>
  </r>
  <r>
    <x v="0"/>
    <s v="習志野市"/>
    <x v="20"/>
    <x v="4"/>
    <n v="38"/>
    <n v="1.86"/>
    <n v="1"/>
    <n v="0.12"/>
    <n v="37"/>
    <n v="3.09"/>
    <x v="0"/>
  </r>
  <r>
    <x v="0"/>
    <s v="習志野市"/>
    <x v="20"/>
    <x v="5"/>
    <n v="20"/>
    <n v="0.98"/>
    <n v="1"/>
    <n v="0.12"/>
    <n v="19"/>
    <n v="1.59"/>
    <x v="0"/>
  </r>
  <r>
    <x v="0"/>
    <s v="習志野市"/>
    <x v="20"/>
    <x v="6"/>
    <n v="384"/>
    <n v="18.75"/>
    <n v="122"/>
    <n v="14.45"/>
    <n v="262"/>
    <n v="21.91"/>
    <x v="0"/>
  </r>
  <r>
    <x v="0"/>
    <s v="習志野市"/>
    <x v="20"/>
    <x v="7"/>
    <n v="11"/>
    <n v="0.54"/>
    <n v="1"/>
    <n v="0.12"/>
    <n v="10"/>
    <n v="0.84"/>
    <x v="0"/>
  </r>
  <r>
    <x v="0"/>
    <s v="習志野市"/>
    <x v="20"/>
    <x v="8"/>
    <n v="303"/>
    <n v="14.79"/>
    <n v="91"/>
    <n v="10.78"/>
    <n v="211"/>
    <n v="17.64"/>
    <x v="1"/>
  </r>
  <r>
    <x v="0"/>
    <s v="習志野市"/>
    <x v="20"/>
    <x v="9"/>
    <n v="167"/>
    <n v="8.15"/>
    <n v="47"/>
    <n v="5.57"/>
    <n v="120"/>
    <n v="10.029999999999999"/>
    <x v="0"/>
  </r>
  <r>
    <x v="0"/>
    <s v="習志野市"/>
    <x v="20"/>
    <x v="10"/>
    <n v="245"/>
    <n v="11.96"/>
    <n v="181"/>
    <n v="21.45"/>
    <n v="64"/>
    <n v="5.35"/>
    <x v="0"/>
  </r>
  <r>
    <x v="0"/>
    <s v="習志野市"/>
    <x v="20"/>
    <x v="11"/>
    <n v="283"/>
    <n v="13.82"/>
    <n v="202"/>
    <n v="23.93"/>
    <n v="80"/>
    <n v="6.69"/>
    <x v="0"/>
  </r>
  <r>
    <x v="0"/>
    <s v="習志野市"/>
    <x v="20"/>
    <x v="12"/>
    <n v="104"/>
    <n v="5.08"/>
    <n v="67"/>
    <n v="7.94"/>
    <n v="35"/>
    <n v="2.93"/>
    <x v="1"/>
  </r>
  <r>
    <x v="0"/>
    <s v="習志野市"/>
    <x v="20"/>
    <x v="13"/>
    <n v="141"/>
    <n v="6.88"/>
    <n v="83"/>
    <n v="9.83"/>
    <n v="56"/>
    <n v="4.68"/>
    <x v="0"/>
  </r>
  <r>
    <x v="0"/>
    <s v="習志野市"/>
    <x v="20"/>
    <x v="14"/>
    <n v="65"/>
    <n v="3.17"/>
    <n v="13"/>
    <n v="1.54"/>
    <n v="50"/>
    <n v="4.18"/>
    <x v="0"/>
  </r>
  <r>
    <x v="0"/>
    <s v="柏市"/>
    <x v="21"/>
    <x v="0"/>
    <n v="0"/>
    <n v="0"/>
    <n v="0"/>
    <n v="0"/>
    <n v="0"/>
    <n v="0"/>
    <x v="0"/>
  </r>
  <r>
    <x v="0"/>
    <s v="柏市"/>
    <x v="21"/>
    <x v="1"/>
    <n v="946"/>
    <n v="15.03"/>
    <n v="134"/>
    <n v="5.83"/>
    <n v="812"/>
    <n v="20.45"/>
    <x v="0"/>
  </r>
  <r>
    <x v="0"/>
    <s v="柏市"/>
    <x v="21"/>
    <x v="2"/>
    <n v="367"/>
    <n v="5.83"/>
    <n v="81"/>
    <n v="3.52"/>
    <n v="286"/>
    <n v="7.2"/>
    <x v="0"/>
  </r>
  <r>
    <x v="0"/>
    <s v="柏市"/>
    <x v="21"/>
    <x v="3"/>
    <n v="10"/>
    <n v="0.16"/>
    <n v="0"/>
    <n v="0"/>
    <n v="10"/>
    <n v="0.25"/>
    <x v="0"/>
  </r>
  <r>
    <x v="0"/>
    <s v="柏市"/>
    <x v="21"/>
    <x v="4"/>
    <n v="121"/>
    <n v="1.92"/>
    <n v="0"/>
    <n v="0"/>
    <n v="121"/>
    <n v="3.05"/>
    <x v="0"/>
  </r>
  <r>
    <x v="0"/>
    <s v="柏市"/>
    <x v="21"/>
    <x v="5"/>
    <n v="70"/>
    <n v="1.1100000000000001"/>
    <n v="7"/>
    <n v="0.3"/>
    <n v="63"/>
    <n v="1.59"/>
    <x v="0"/>
  </r>
  <r>
    <x v="0"/>
    <s v="柏市"/>
    <x v="21"/>
    <x v="6"/>
    <n v="1245"/>
    <n v="19.78"/>
    <n v="358"/>
    <n v="15.57"/>
    <n v="885"/>
    <n v="22.29"/>
    <x v="7"/>
  </r>
  <r>
    <x v="0"/>
    <s v="柏市"/>
    <x v="21"/>
    <x v="7"/>
    <n v="43"/>
    <n v="0.68"/>
    <n v="4"/>
    <n v="0.17"/>
    <n v="39"/>
    <n v="0.98"/>
    <x v="0"/>
  </r>
  <r>
    <x v="0"/>
    <s v="柏市"/>
    <x v="21"/>
    <x v="8"/>
    <n v="703"/>
    <n v="11.17"/>
    <n v="127"/>
    <n v="5.52"/>
    <n v="573"/>
    <n v="14.43"/>
    <x v="1"/>
  </r>
  <r>
    <x v="0"/>
    <s v="柏市"/>
    <x v="21"/>
    <x v="9"/>
    <n v="442"/>
    <n v="7.02"/>
    <n v="156"/>
    <n v="6.78"/>
    <n v="285"/>
    <n v="7.18"/>
    <x v="0"/>
  </r>
  <r>
    <x v="0"/>
    <s v="柏市"/>
    <x v="21"/>
    <x v="10"/>
    <n v="612"/>
    <n v="9.73"/>
    <n v="452"/>
    <n v="19.649999999999999"/>
    <n v="158"/>
    <n v="3.98"/>
    <x v="0"/>
  </r>
  <r>
    <x v="0"/>
    <s v="柏市"/>
    <x v="21"/>
    <x v="11"/>
    <n v="777"/>
    <n v="12.35"/>
    <n v="518"/>
    <n v="22.52"/>
    <n v="259"/>
    <n v="6.52"/>
    <x v="0"/>
  </r>
  <r>
    <x v="0"/>
    <s v="柏市"/>
    <x v="21"/>
    <x v="12"/>
    <n v="304"/>
    <n v="4.83"/>
    <n v="182"/>
    <n v="7.91"/>
    <n v="122"/>
    <n v="3.07"/>
    <x v="0"/>
  </r>
  <r>
    <x v="0"/>
    <s v="柏市"/>
    <x v="21"/>
    <x v="13"/>
    <n v="385"/>
    <n v="6.12"/>
    <n v="233"/>
    <n v="10.130000000000001"/>
    <n v="148"/>
    <n v="3.73"/>
    <x v="0"/>
  </r>
  <r>
    <x v="0"/>
    <s v="柏市"/>
    <x v="21"/>
    <x v="14"/>
    <n v="268"/>
    <n v="4.26"/>
    <n v="48"/>
    <n v="2.09"/>
    <n v="210"/>
    <n v="5.29"/>
    <x v="1"/>
  </r>
  <r>
    <x v="0"/>
    <s v="勝浦市"/>
    <x v="22"/>
    <x v="0"/>
    <n v="0"/>
    <n v="0"/>
    <n v="0"/>
    <n v="0"/>
    <n v="0"/>
    <n v="0"/>
    <x v="0"/>
  </r>
  <r>
    <x v="0"/>
    <s v="勝浦市"/>
    <x v="22"/>
    <x v="1"/>
    <n v="109"/>
    <n v="15.73"/>
    <n v="66"/>
    <n v="13.81"/>
    <n v="43"/>
    <n v="20.48"/>
    <x v="0"/>
  </r>
  <r>
    <x v="0"/>
    <s v="勝浦市"/>
    <x v="22"/>
    <x v="2"/>
    <n v="34"/>
    <n v="4.91"/>
    <n v="18"/>
    <n v="3.77"/>
    <n v="16"/>
    <n v="7.62"/>
    <x v="0"/>
  </r>
  <r>
    <x v="0"/>
    <s v="勝浦市"/>
    <x v="22"/>
    <x v="3"/>
    <n v="0"/>
    <n v="0"/>
    <n v="0"/>
    <n v="0"/>
    <n v="0"/>
    <n v="0"/>
    <x v="0"/>
  </r>
  <r>
    <x v="0"/>
    <s v="勝浦市"/>
    <x v="22"/>
    <x v="4"/>
    <n v="2"/>
    <n v="0.28999999999999998"/>
    <n v="0"/>
    <n v="0"/>
    <n v="2"/>
    <n v="0.95"/>
    <x v="0"/>
  </r>
  <r>
    <x v="0"/>
    <s v="勝浦市"/>
    <x v="22"/>
    <x v="5"/>
    <n v="9"/>
    <n v="1.3"/>
    <n v="3"/>
    <n v="0.63"/>
    <n v="5"/>
    <n v="2.38"/>
    <x v="1"/>
  </r>
  <r>
    <x v="0"/>
    <s v="勝浦市"/>
    <x v="22"/>
    <x v="6"/>
    <n v="174"/>
    <n v="25.11"/>
    <n v="102"/>
    <n v="21.34"/>
    <n v="72"/>
    <n v="34.29"/>
    <x v="0"/>
  </r>
  <r>
    <x v="0"/>
    <s v="勝浦市"/>
    <x v="22"/>
    <x v="7"/>
    <n v="5"/>
    <n v="0.72"/>
    <n v="1"/>
    <n v="0.21"/>
    <n v="4"/>
    <n v="1.9"/>
    <x v="0"/>
  </r>
  <r>
    <x v="0"/>
    <s v="勝浦市"/>
    <x v="22"/>
    <x v="8"/>
    <n v="75"/>
    <n v="10.82"/>
    <n v="64"/>
    <n v="13.39"/>
    <n v="11"/>
    <n v="5.24"/>
    <x v="0"/>
  </r>
  <r>
    <x v="0"/>
    <s v="勝浦市"/>
    <x v="22"/>
    <x v="9"/>
    <n v="13"/>
    <n v="1.88"/>
    <n v="6"/>
    <n v="1.26"/>
    <n v="7"/>
    <n v="3.33"/>
    <x v="0"/>
  </r>
  <r>
    <x v="0"/>
    <s v="勝浦市"/>
    <x v="22"/>
    <x v="10"/>
    <n v="139"/>
    <n v="20.059999999999999"/>
    <n v="116"/>
    <n v="24.27"/>
    <n v="22"/>
    <n v="10.48"/>
    <x v="0"/>
  </r>
  <r>
    <x v="0"/>
    <s v="勝浦市"/>
    <x v="22"/>
    <x v="11"/>
    <n v="87"/>
    <n v="12.55"/>
    <n v="75"/>
    <n v="15.69"/>
    <n v="12"/>
    <n v="5.71"/>
    <x v="0"/>
  </r>
  <r>
    <x v="0"/>
    <s v="勝浦市"/>
    <x v="22"/>
    <x v="12"/>
    <n v="16"/>
    <n v="2.31"/>
    <n v="12"/>
    <n v="2.5099999999999998"/>
    <n v="2"/>
    <n v="0.95"/>
    <x v="0"/>
  </r>
  <r>
    <x v="0"/>
    <s v="勝浦市"/>
    <x v="22"/>
    <x v="13"/>
    <n v="14"/>
    <n v="2.02"/>
    <n v="8"/>
    <n v="1.67"/>
    <n v="5"/>
    <n v="2.38"/>
    <x v="0"/>
  </r>
  <r>
    <x v="0"/>
    <s v="勝浦市"/>
    <x v="22"/>
    <x v="14"/>
    <n v="16"/>
    <n v="2.31"/>
    <n v="7"/>
    <n v="1.46"/>
    <n v="9"/>
    <n v="4.29"/>
    <x v="0"/>
  </r>
  <r>
    <x v="0"/>
    <s v="市原市"/>
    <x v="23"/>
    <x v="0"/>
    <n v="2"/>
    <n v="0.05"/>
    <n v="0"/>
    <n v="0"/>
    <n v="2"/>
    <n v="7.0000000000000007E-2"/>
    <x v="0"/>
  </r>
  <r>
    <x v="0"/>
    <s v="市原市"/>
    <x v="23"/>
    <x v="1"/>
    <n v="1024"/>
    <n v="23.34"/>
    <n v="113"/>
    <n v="7.09"/>
    <n v="911"/>
    <n v="32.71"/>
    <x v="0"/>
  </r>
  <r>
    <x v="0"/>
    <s v="市原市"/>
    <x v="23"/>
    <x v="2"/>
    <n v="218"/>
    <n v="4.97"/>
    <n v="35"/>
    <n v="2.2000000000000002"/>
    <n v="183"/>
    <n v="6.57"/>
    <x v="0"/>
  </r>
  <r>
    <x v="0"/>
    <s v="市原市"/>
    <x v="23"/>
    <x v="3"/>
    <n v="9"/>
    <n v="0.21"/>
    <n v="0"/>
    <n v="0"/>
    <n v="8"/>
    <n v="0.28999999999999998"/>
    <x v="0"/>
  </r>
  <r>
    <x v="0"/>
    <s v="市原市"/>
    <x v="23"/>
    <x v="4"/>
    <n v="33"/>
    <n v="0.75"/>
    <n v="0"/>
    <n v="0"/>
    <n v="33"/>
    <n v="1.18"/>
    <x v="0"/>
  </r>
  <r>
    <x v="0"/>
    <s v="市原市"/>
    <x v="23"/>
    <x v="5"/>
    <n v="78"/>
    <n v="1.78"/>
    <n v="2"/>
    <n v="0.13"/>
    <n v="76"/>
    <n v="2.73"/>
    <x v="0"/>
  </r>
  <r>
    <x v="0"/>
    <s v="市原市"/>
    <x v="23"/>
    <x v="6"/>
    <n v="878"/>
    <n v="20.010000000000002"/>
    <n v="282"/>
    <n v="17.690000000000001"/>
    <n v="596"/>
    <n v="21.4"/>
    <x v="0"/>
  </r>
  <r>
    <x v="0"/>
    <s v="市原市"/>
    <x v="23"/>
    <x v="7"/>
    <n v="29"/>
    <n v="0.66"/>
    <n v="1"/>
    <n v="0.06"/>
    <n v="28"/>
    <n v="1.01"/>
    <x v="0"/>
  </r>
  <r>
    <x v="0"/>
    <s v="市原市"/>
    <x v="23"/>
    <x v="8"/>
    <n v="349"/>
    <n v="7.96"/>
    <n v="35"/>
    <n v="2.2000000000000002"/>
    <n v="313"/>
    <n v="11.24"/>
    <x v="0"/>
  </r>
  <r>
    <x v="0"/>
    <s v="市原市"/>
    <x v="23"/>
    <x v="9"/>
    <n v="190"/>
    <n v="4.33"/>
    <n v="72"/>
    <n v="4.5199999999999996"/>
    <n v="118"/>
    <n v="4.24"/>
    <x v="0"/>
  </r>
  <r>
    <x v="0"/>
    <s v="市原市"/>
    <x v="23"/>
    <x v="10"/>
    <n v="476"/>
    <n v="10.85"/>
    <n v="364"/>
    <n v="22.84"/>
    <n v="112"/>
    <n v="4.0199999999999996"/>
    <x v="0"/>
  </r>
  <r>
    <x v="0"/>
    <s v="市原市"/>
    <x v="23"/>
    <x v="11"/>
    <n v="606"/>
    <n v="13.81"/>
    <n v="446"/>
    <n v="27.98"/>
    <n v="160"/>
    <n v="5.75"/>
    <x v="0"/>
  </r>
  <r>
    <x v="0"/>
    <s v="市原市"/>
    <x v="23"/>
    <x v="12"/>
    <n v="129"/>
    <n v="2.94"/>
    <n v="80"/>
    <n v="5.0199999999999996"/>
    <n v="45"/>
    <n v="1.62"/>
    <x v="1"/>
  </r>
  <r>
    <x v="0"/>
    <s v="市原市"/>
    <x v="23"/>
    <x v="13"/>
    <n v="176"/>
    <n v="4.01"/>
    <n v="117"/>
    <n v="7.34"/>
    <n v="59"/>
    <n v="2.12"/>
    <x v="0"/>
  </r>
  <r>
    <x v="0"/>
    <s v="市原市"/>
    <x v="23"/>
    <x v="14"/>
    <n v="190"/>
    <n v="4.33"/>
    <n v="47"/>
    <n v="2.95"/>
    <n v="141"/>
    <n v="5.0599999999999996"/>
    <x v="0"/>
  </r>
  <r>
    <x v="0"/>
    <s v="流山市"/>
    <x v="24"/>
    <x v="0"/>
    <n v="0"/>
    <n v="0"/>
    <n v="0"/>
    <n v="0"/>
    <n v="0"/>
    <n v="0"/>
    <x v="0"/>
  </r>
  <r>
    <x v="0"/>
    <s v="流山市"/>
    <x v="24"/>
    <x v="1"/>
    <n v="350"/>
    <n v="14.78"/>
    <n v="51"/>
    <n v="5.62"/>
    <n v="299"/>
    <n v="20.56"/>
    <x v="0"/>
  </r>
  <r>
    <x v="0"/>
    <s v="流山市"/>
    <x v="24"/>
    <x v="2"/>
    <n v="160"/>
    <n v="6.76"/>
    <n v="42"/>
    <n v="4.63"/>
    <n v="118"/>
    <n v="8.1199999999999992"/>
    <x v="0"/>
  </r>
  <r>
    <x v="0"/>
    <s v="流山市"/>
    <x v="24"/>
    <x v="3"/>
    <n v="4"/>
    <n v="0.17"/>
    <n v="0"/>
    <n v="0"/>
    <n v="4"/>
    <n v="0.28000000000000003"/>
    <x v="0"/>
  </r>
  <r>
    <x v="0"/>
    <s v="流山市"/>
    <x v="24"/>
    <x v="4"/>
    <n v="35"/>
    <n v="1.48"/>
    <n v="2"/>
    <n v="0.22"/>
    <n v="33"/>
    <n v="2.27"/>
    <x v="0"/>
  </r>
  <r>
    <x v="0"/>
    <s v="流山市"/>
    <x v="24"/>
    <x v="5"/>
    <n v="19"/>
    <n v="0.8"/>
    <n v="1"/>
    <n v="0.11"/>
    <n v="18"/>
    <n v="1.24"/>
    <x v="0"/>
  </r>
  <r>
    <x v="0"/>
    <s v="流山市"/>
    <x v="24"/>
    <x v="6"/>
    <n v="458"/>
    <n v="19.34"/>
    <n v="145"/>
    <n v="15.99"/>
    <n v="313"/>
    <n v="21.53"/>
    <x v="0"/>
  </r>
  <r>
    <x v="0"/>
    <s v="流山市"/>
    <x v="24"/>
    <x v="7"/>
    <n v="17"/>
    <n v="0.72"/>
    <n v="3"/>
    <n v="0.33"/>
    <n v="14"/>
    <n v="0.96"/>
    <x v="0"/>
  </r>
  <r>
    <x v="0"/>
    <s v="流山市"/>
    <x v="24"/>
    <x v="8"/>
    <n v="289"/>
    <n v="12.2"/>
    <n v="68"/>
    <n v="7.5"/>
    <n v="220"/>
    <n v="15.13"/>
    <x v="0"/>
  </r>
  <r>
    <x v="0"/>
    <s v="流山市"/>
    <x v="24"/>
    <x v="9"/>
    <n v="138"/>
    <n v="5.83"/>
    <n v="46"/>
    <n v="5.07"/>
    <n v="90"/>
    <n v="6.19"/>
    <x v="1"/>
  </r>
  <r>
    <x v="0"/>
    <s v="流山市"/>
    <x v="24"/>
    <x v="10"/>
    <n v="220"/>
    <n v="9.2899999999999991"/>
    <n v="159"/>
    <n v="17.53"/>
    <n v="61"/>
    <n v="4.2"/>
    <x v="0"/>
  </r>
  <r>
    <x v="0"/>
    <s v="流山市"/>
    <x v="24"/>
    <x v="11"/>
    <n v="316"/>
    <n v="13.34"/>
    <n v="227"/>
    <n v="25.03"/>
    <n v="88"/>
    <n v="6.05"/>
    <x v="1"/>
  </r>
  <r>
    <x v="0"/>
    <s v="流山市"/>
    <x v="24"/>
    <x v="12"/>
    <n v="117"/>
    <n v="4.9400000000000004"/>
    <n v="64"/>
    <n v="7.06"/>
    <n v="53"/>
    <n v="3.65"/>
    <x v="0"/>
  </r>
  <r>
    <x v="0"/>
    <s v="流山市"/>
    <x v="24"/>
    <x v="13"/>
    <n v="153"/>
    <n v="6.46"/>
    <n v="87"/>
    <n v="9.59"/>
    <n v="66"/>
    <n v="4.54"/>
    <x v="0"/>
  </r>
  <r>
    <x v="0"/>
    <s v="流山市"/>
    <x v="24"/>
    <x v="14"/>
    <n v="92"/>
    <n v="3.89"/>
    <n v="12"/>
    <n v="1.32"/>
    <n v="77"/>
    <n v="5.3"/>
    <x v="7"/>
  </r>
  <r>
    <x v="0"/>
    <s v="八千代市"/>
    <x v="25"/>
    <x v="0"/>
    <n v="0"/>
    <n v="0"/>
    <n v="0"/>
    <n v="0"/>
    <n v="0"/>
    <n v="0"/>
    <x v="0"/>
  </r>
  <r>
    <x v="0"/>
    <s v="八千代市"/>
    <x v="25"/>
    <x v="1"/>
    <n v="347"/>
    <n v="13.69"/>
    <n v="36"/>
    <n v="3.43"/>
    <n v="311"/>
    <n v="21.01"/>
    <x v="0"/>
  </r>
  <r>
    <x v="0"/>
    <s v="八千代市"/>
    <x v="25"/>
    <x v="2"/>
    <n v="172"/>
    <n v="6.79"/>
    <n v="25"/>
    <n v="2.38"/>
    <n v="147"/>
    <n v="9.93"/>
    <x v="0"/>
  </r>
  <r>
    <x v="0"/>
    <s v="八千代市"/>
    <x v="25"/>
    <x v="3"/>
    <n v="3"/>
    <n v="0.12"/>
    <n v="0"/>
    <n v="0"/>
    <n v="3"/>
    <n v="0.2"/>
    <x v="0"/>
  </r>
  <r>
    <x v="0"/>
    <s v="八千代市"/>
    <x v="25"/>
    <x v="4"/>
    <n v="35"/>
    <n v="1.38"/>
    <n v="0"/>
    <n v="0"/>
    <n v="35"/>
    <n v="2.36"/>
    <x v="0"/>
  </r>
  <r>
    <x v="0"/>
    <s v="八千代市"/>
    <x v="25"/>
    <x v="5"/>
    <n v="29"/>
    <n v="1.1399999999999999"/>
    <n v="4"/>
    <n v="0.38"/>
    <n v="25"/>
    <n v="1.69"/>
    <x v="0"/>
  </r>
  <r>
    <x v="0"/>
    <s v="八千代市"/>
    <x v="25"/>
    <x v="6"/>
    <n v="499"/>
    <n v="19.68"/>
    <n v="162"/>
    <n v="15.41"/>
    <n v="337"/>
    <n v="22.77"/>
    <x v="0"/>
  </r>
  <r>
    <x v="0"/>
    <s v="八千代市"/>
    <x v="25"/>
    <x v="7"/>
    <n v="10"/>
    <n v="0.39"/>
    <n v="0"/>
    <n v="0"/>
    <n v="10"/>
    <n v="0.68"/>
    <x v="0"/>
  </r>
  <r>
    <x v="0"/>
    <s v="八千代市"/>
    <x v="25"/>
    <x v="8"/>
    <n v="209"/>
    <n v="8.24"/>
    <n v="25"/>
    <n v="2.38"/>
    <n v="184"/>
    <n v="12.43"/>
    <x v="0"/>
  </r>
  <r>
    <x v="0"/>
    <s v="八千代市"/>
    <x v="25"/>
    <x v="9"/>
    <n v="126"/>
    <n v="4.97"/>
    <n v="46"/>
    <n v="4.38"/>
    <n v="80"/>
    <n v="5.41"/>
    <x v="0"/>
  </r>
  <r>
    <x v="0"/>
    <s v="八千代市"/>
    <x v="25"/>
    <x v="10"/>
    <n v="327"/>
    <n v="12.9"/>
    <n v="247"/>
    <n v="23.5"/>
    <n v="80"/>
    <n v="5.41"/>
    <x v="0"/>
  </r>
  <r>
    <x v="0"/>
    <s v="八千代市"/>
    <x v="25"/>
    <x v="11"/>
    <n v="393"/>
    <n v="15.5"/>
    <n v="282"/>
    <n v="26.83"/>
    <n v="111"/>
    <n v="7.5"/>
    <x v="0"/>
  </r>
  <r>
    <x v="0"/>
    <s v="八千代市"/>
    <x v="25"/>
    <x v="12"/>
    <n v="144"/>
    <n v="5.68"/>
    <n v="103"/>
    <n v="9.8000000000000007"/>
    <n v="41"/>
    <n v="2.77"/>
    <x v="0"/>
  </r>
  <r>
    <x v="0"/>
    <s v="八千代市"/>
    <x v="25"/>
    <x v="13"/>
    <n v="158"/>
    <n v="6.23"/>
    <n v="101"/>
    <n v="9.61"/>
    <n v="56"/>
    <n v="3.78"/>
    <x v="0"/>
  </r>
  <r>
    <x v="0"/>
    <s v="八千代市"/>
    <x v="25"/>
    <x v="14"/>
    <n v="83"/>
    <n v="3.27"/>
    <n v="20"/>
    <n v="1.9"/>
    <n v="60"/>
    <n v="4.05"/>
    <x v="1"/>
  </r>
  <r>
    <x v="0"/>
    <s v="我孫子市"/>
    <x v="26"/>
    <x v="0"/>
    <n v="0"/>
    <n v="0"/>
    <n v="0"/>
    <n v="0"/>
    <n v="0"/>
    <n v="0"/>
    <x v="0"/>
  </r>
  <r>
    <x v="0"/>
    <s v="我孫子市"/>
    <x v="26"/>
    <x v="1"/>
    <n v="236"/>
    <n v="14.06"/>
    <n v="45"/>
    <n v="5.94"/>
    <n v="191"/>
    <n v="20.85"/>
    <x v="0"/>
  </r>
  <r>
    <x v="0"/>
    <s v="我孫子市"/>
    <x v="26"/>
    <x v="2"/>
    <n v="62"/>
    <n v="3.69"/>
    <n v="25"/>
    <n v="3.3"/>
    <n v="37"/>
    <n v="4.04"/>
    <x v="0"/>
  </r>
  <r>
    <x v="0"/>
    <s v="我孫子市"/>
    <x v="26"/>
    <x v="3"/>
    <n v="4"/>
    <n v="0.24"/>
    <n v="0"/>
    <n v="0"/>
    <n v="4"/>
    <n v="0.44"/>
    <x v="0"/>
  </r>
  <r>
    <x v="0"/>
    <s v="我孫子市"/>
    <x v="26"/>
    <x v="4"/>
    <n v="38"/>
    <n v="2.2599999999999998"/>
    <n v="0"/>
    <n v="0"/>
    <n v="38"/>
    <n v="4.1500000000000004"/>
    <x v="0"/>
  </r>
  <r>
    <x v="0"/>
    <s v="我孫子市"/>
    <x v="26"/>
    <x v="5"/>
    <n v="11"/>
    <n v="0.66"/>
    <n v="2"/>
    <n v="0.26"/>
    <n v="9"/>
    <n v="0.98"/>
    <x v="0"/>
  </r>
  <r>
    <x v="0"/>
    <s v="我孫子市"/>
    <x v="26"/>
    <x v="6"/>
    <n v="350"/>
    <n v="20.86"/>
    <n v="135"/>
    <n v="17.829999999999998"/>
    <n v="213"/>
    <n v="23.25"/>
    <x v="7"/>
  </r>
  <r>
    <x v="0"/>
    <s v="我孫子市"/>
    <x v="26"/>
    <x v="7"/>
    <n v="16"/>
    <n v="0.95"/>
    <n v="3"/>
    <n v="0.4"/>
    <n v="13"/>
    <n v="1.42"/>
    <x v="0"/>
  </r>
  <r>
    <x v="0"/>
    <s v="我孫子市"/>
    <x v="26"/>
    <x v="8"/>
    <n v="171"/>
    <n v="10.19"/>
    <n v="25"/>
    <n v="3.3"/>
    <n v="146"/>
    <n v="15.94"/>
    <x v="0"/>
  </r>
  <r>
    <x v="0"/>
    <s v="我孫子市"/>
    <x v="26"/>
    <x v="9"/>
    <n v="113"/>
    <n v="6.73"/>
    <n v="45"/>
    <n v="5.94"/>
    <n v="68"/>
    <n v="7.42"/>
    <x v="0"/>
  </r>
  <r>
    <x v="0"/>
    <s v="我孫子市"/>
    <x v="26"/>
    <x v="10"/>
    <n v="156"/>
    <n v="9.3000000000000007"/>
    <n v="120"/>
    <n v="15.85"/>
    <n v="36"/>
    <n v="3.93"/>
    <x v="0"/>
  </r>
  <r>
    <x v="0"/>
    <s v="我孫子市"/>
    <x v="26"/>
    <x v="11"/>
    <n v="237"/>
    <n v="14.12"/>
    <n v="187"/>
    <n v="24.7"/>
    <n v="50"/>
    <n v="5.46"/>
    <x v="0"/>
  </r>
  <r>
    <x v="0"/>
    <s v="我孫子市"/>
    <x v="26"/>
    <x v="12"/>
    <n v="107"/>
    <n v="6.38"/>
    <n v="75"/>
    <n v="9.91"/>
    <n v="32"/>
    <n v="3.49"/>
    <x v="0"/>
  </r>
  <r>
    <x v="0"/>
    <s v="我孫子市"/>
    <x v="26"/>
    <x v="13"/>
    <n v="130"/>
    <n v="7.75"/>
    <n v="85"/>
    <n v="11.23"/>
    <n v="42"/>
    <n v="4.59"/>
    <x v="1"/>
  </r>
  <r>
    <x v="0"/>
    <s v="我孫子市"/>
    <x v="26"/>
    <x v="14"/>
    <n v="47"/>
    <n v="2.8"/>
    <n v="10"/>
    <n v="1.32"/>
    <n v="37"/>
    <n v="4.04"/>
    <x v="0"/>
  </r>
  <r>
    <x v="0"/>
    <s v="鴨川市"/>
    <x v="27"/>
    <x v="0"/>
    <n v="0"/>
    <n v="0"/>
    <n v="0"/>
    <n v="0"/>
    <n v="0"/>
    <n v="0"/>
    <x v="0"/>
  </r>
  <r>
    <x v="0"/>
    <s v="鴨川市"/>
    <x v="27"/>
    <x v="1"/>
    <n v="155"/>
    <n v="13.64"/>
    <n v="91"/>
    <n v="13.02"/>
    <n v="64"/>
    <n v="15.24"/>
    <x v="0"/>
  </r>
  <r>
    <x v="0"/>
    <s v="鴨川市"/>
    <x v="27"/>
    <x v="2"/>
    <n v="69"/>
    <n v="6.07"/>
    <n v="22"/>
    <n v="3.15"/>
    <n v="47"/>
    <n v="11.19"/>
    <x v="0"/>
  </r>
  <r>
    <x v="0"/>
    <s v="鴨川市"/>
    <x v="27"/>
    <x v="3"/>
    <n v="4"/>
    <n v="0.35"/>
    <n v="0"/>
    <n v="0"/>
    <n v="2"/>
    <n v="0.48"/>
    <x v="0"/>
  </r>
  <r>
    <x v="0"/>
    <s v="鴨川市"/>
    <x v="27"/>
    <x v="4"/>
    <n v="7"/>
    <n v="0.62"/>
    <n v="0"/>
    <n v="0"/>
    <n v="7"/>
    <n v="1.67"/>
    <x v="0"/>
  </r>
  <r>
    <x v="0"/>
    <s v="鴨川市"/>
    <x v="27"/>
    <x v="5"/>
    <n v="5"/>
    <n v="0.44"/>
    <n v="0"/>
    <n v="0"/>
    <n v="5"/>
    <n v="1.19"/>
    <x v="0"/>
  </r>
  <r>
    <x v="0"/>
    <s v="鴨川市"/>
    <x v="27"/>
    <x v="6"/>
    <n v="270"/>
    <n v="23.77"/>
    <n v="150"/>
    <n v="21.46"/>
    <n v="120"/>
    <n v="28.57"/>
    <x v="0"/>
  </r>
  <r>
    <x v="0"/>
    <s v="鴨川市"/>
    <x v="27"/>
    <x v="7"/>
    <n v="11"/>
    <n v="0.97"/>
    <n v="3"/>
    <n v="0.43"/>
    <n v="8"/>
    <n v="1.9"/>
    <x v="0"/>
  </r>
  <r>
    <x v="0"/>
    <s v="鴨川市"/>
    <x v="27"/>
    <x v="8"/>
    <n v="107"/>
    <n v="9.42"/>
    <n v="65"/>
    <n v="9.3000000000000007"/>
    <n v="42"/>
    <n v="10"/>
    <x v="0"/>
  </r>
  <r>
    <x v="0"/>
    <s v="鴨川市"/>
    <x v="27"/>
    <x v="9"/>
    <n v="43"/>
    <n v="3.79"/>
    <n v="23"/>
    <n v="3.29"/>
    <n v="19"/>
    <n v="4.5199999999999996"/>
    <x v="0"/>
  </r>
  <r>
    <x v="0"/>
    <s v="鴨川市"/>
    <x v="27"/>
    <x v="10"/>
    <n v="216"/>
    <n v="19.010000000000002"/>
    <n v="183"/>
    <n v="26.18"/>
    <n v="33"/>
    <n v="7.86"/>
    <x v="0"/>
  </r>
  <r>
    <x v="0"/>
    <s v="鴨川市"/>
    <x v="27"/>
    <x v="11"/>
    <n v="145"/>
    <n v="12.76"/>
    <n v="115"/>
    <n v="16.45"/>
    <n v="29"/>
    <n v="6.9"/>
    <x v="1"/>
  </r>
  <r>
    <x v="0"/>
    <s v="鴨川市"/>
    <x v="27"/>
    <x v="12"/>
    <n v="36"/>
    <n v="3.17"/>
    <n v="18"/>
    <n v="2.58"/>
    <n v="7"/>
    <n v="1.67"/>
    <x v="0"/>
  </r>
  <r>
    <x v="0"/>
    <s v="鴨川市"/>
    <x v="27"/>
    <x v="13"/>
    <n v="25"/>
    <n v="2.2000000000000002"/>
    <n v="12"/>
    <n v="1.72"/>
    <n v="12"/>
    <n v="2.86"/>
    <x v="0"/>
  </r>
  <r>
    <x v="0"/>
    <s v="鴨川市"/>
    <x v="27"/>
    <x v="14"/>
    <n v="43"/>
    <n v="3.79"/>
    <n v="17"/>
    <n v="2.4300000000000002"/>
    <n v="25"/>
    <n v="5.95"/>
    <x v="0"/>
  </r>
  <r>
    <x v="0"/>
    <s v="鎌ケ谷市"/>
    <x v="28"/>
    <x v="0"/>
    <n v="0"/>
    <n v="0"/>
    <n v="0"/>
    <n v="0"/>
    <n v="0"/>
    <n v="0"/>
    <x v="0"/>
  </r>
  <r>
    <x v="0"/>
    <s v="鎌ケ谷市"/>
    <x v="28"/>
    <x v="1"/>
    <n v="323"/>
    <n v="20.100000000000001"/>
    <n v="48"/>
    <n v="7.38"/>
    <n v="275"/>
    <n v="28.86"/>
    <x v="0"/>
  </r>
  <r>
    <x v="0"/>
    <s v="鎌ケ谷市"/>
    <x v="28"/>
    <x v="2"/>
    <n v="172"/>
    <n v="10.7"/>
    <n v="47"/>
    <n v="7.23"/>
    <n v="125"/>
    <n v="13.12"/>
    <x v="0"/>
  </r>
  <r>
    <x v="0"/>
    <s v="鎌ケ谷市"/>
    <x v="28"/>
    <x v="3"/>
    <n v="1"/>
    <n v="0.06"/>
    <n v="0"/>
    <n v="0"/>
    <n v="1"/>
    <n v="0.1"/>
    <x v="0"/>
  </r>
  <r>
    <x v="0"/>
    <s v="鎌ケ谷市"/>
    <x v="28"/>
    <x v="4"/>
    <n v="21"/>
    <n v="1.31"/>
    <n v="0"/>
    <n v="0"/>
    <n v="21"/>
    <n v="2.2000000000000002"/>
    <x v="0"/>
  </r>
  <r>
    <x v="0"/>
    <s v="鎌ケ谷市"/>
    <x v="28"/>
    <x v="5"/>
    <n v="18"/>
    <n v="1.1200000000000001"/>
    <n v="7"/>
    <n v="1.08"/>
    <n v="10"/>
    <n v="1.05"/>
    <x v="1"/>
  </r>
  <r>
    <x v="0"/>
    <s v="鎌ケ谷市"/>
    <x v="28"/>
    <x v="6"/>
    <n v="274"/>
    <n v="17.05"/>
    <n v="103"/>
    <n v="15.85"/>
    <n v="171"/>
    <n v="17.940000000000001"/>
    <x v="0"/>
  </r>
  <r>
    <x v="0"/>
    <s v="鎌ケ谷市"/>
    <x v="28"/>
    <x v="7"/>
    <n v="7"/>
    <n v="0.44"/>
    <n v="0"/>
    <n v="0"/>
    <n v="7"/>
    <n v="0.73"/>
    <x v="0"/>
  </r>
  <r>
    <x v="0"/>
    <s v="鎌ケ谷市"/>
    <x v="28"/>
    <x v="8"/>
    <n v="114"/>
    <n v="7.09"/>
    <n v="16"/>
    <n v="2.46"/>
    <n v="98"/>
    <n v="10.28"/>
    <x v="0"/>
  </r>
  <r>
    <x v="0"/>
    <s v="鎌ケ谷市"/>
    <x v="28"/>
    <x v="9"/>
    <n v="83"/>
    <n v="5.16"/>
    <n v="26"/>
    <n v="4"/>
    <n v="57"/>
    <n v="5.98"/>
    <x v="0"/>
  </r>
  <r>
    <x v="0"/>
    <s v="鎌ケ谷市"/>
    <x v="28"/>
    <x v="10"/>
    <n v="150"/>
    <n v="9.33"/>
    <n v="121"/>
    <n v="18.62"/>
    <n v="29"/>
    <n v="3.04"/>
    <x v="0"/>
  </r>
  <r>
    <x v="0"/>
    <s v="鎌ケ谷市"/>
    <x v="28"/>
    <x v="11"/>
    <n v="213"/>
    <n v="13.25"/>
    <n v="157"/>
    <n v="24.15"/>
    <n v="55"/>
    <n v="5.77"/>
    <x v="0"/>
  </r>
  <r>
    <x v="0"/>
    <s v="鎌ケ谷市"/>
    <x v="28"/>
    <x v="12"/>
    <n v="58"/>
    <n v="3.61"/>
    <n v="39"/>
    <n v="6"/>
    <n v="19"/>
    <n v="1.99"/>
    <x v="0"/>
  </r>
  <r>
    <x v="0"/>
    <s v="鎌ケ谷市"/>
    <x v="28"/>
    <x v="13"/>
    <n v="110"/>
    <n v="6.85"/>
    <n v="66"/>
    <n v="10.15"/>
    <n v="44"/>
    <n v="4.62"/>
    <x v="0"/>
  </r>
  <r>
    <x v="0"/>
    <s v="鎌ケ谷市"/>
    <x v="28"/>
    <x v="14"/>
    <n v="63"/>
    <n v="3.92"/>
    <n v="20"/>
    <n v="3.08"/>
    <n v="41"/>
    <n v="4.3"/>
    <x v="0"/>
  </r>
  <r>
    <x v="0"/>
    <s v="君津市"/>
    <x v="29"/>
    <x v="0"/>
    <n v="2"/>
    <n v="0.11"/>
    <n v="0"/>
    <n v="0"/>
    <n v="2"/>
    <n v="0.25"/>
    <x v="0"/>
  </r>
  <r>
    <x v="0"/>
    <s v="君津市"/>
    <x v="29"/>
    <x v="1"/>
    <n v="295"/>
    <n v="16.510000000000002"/>
    <n v="87"/>
    <n v="8.92"/>
    <n v="208"/>
    <n v="26"/>
    <x v="0"/>
  </r>
  <r>
    <x v="0"/>
    <s v="君津市"/>
    <x v="29"/>
    <x v="2"/>
    <n v="79"/>
    <n v="4.42"/>
    <n v="23"/>
    <n v="2.36"/>
    <n v="56"/>
    <n v="7"/>
    <x v="0"/>
  </r>
  <r>
    <x v="0"/>
    <s v="君津市"/>
    <x v="29"/>
    <x v="3"/>
    <n v="1"/>
    <n v="0.06"/>
    <n v="0"/>
    <n v="0"/>
    <n v="1"/>
    <n v="0.13"/>
    <x v="0"/>
  </r>
  <r>
    <x v="0"/>
    <s v="君津市"/>
    <x v="29"/>
    <x v="4"/>
    <n v="5"/>
    <n v="0.28000000000000003"/>
    <n v="1"/>
    <n v="0.1"/>
    <n v="4"/>
    <n v="0.5"/>
    <x v="0"/>
  </r>
  <r>
    <x v="0"/>
    <s v="君津市"/>
    <x v="29"/>
    <x v="5"/>
    <n v="20"/>
    <n v="1.1200000000000001"/>
    <n v="3"/>
    <n v="0.31"/>
    <n v="17"/>
    <n v="2.13"/>
    <x v="0"/>
  </r>
  <r>
    <x v="0"/>
    <s v="君津市"/>
    <x v="29"/>
    <x v="6"/>
    <n v="313"/>
    <n v="17.52"/>
    <n v="125"/>
    <n v="12.82"/>
    <n v="188"/>
    <n v="23.5"/>
    <x v="0"/>
  </r>
  <r>
    <x v="0"/>
    <s v="君津市"/>
    <x v="29"/>
    <x v="7"/>
    <n v="13"/>
    <n v="0.73"/>
    <n v="2"/>
    <n v="0.21"/>
    <n v="11"/>
    <n v="1.38"/>
    <x v="0"/>
  </r>
  <r>
    <x v="0"/>
    <s v="君津市"/>
    <x v="29"/>
    <x v="8"/>
    <n v="166"/>
    <n v="9.2899999999999991"/>
    <n v="49"/>
    <n v="5.03"/>
    <n v="117"/>
    <n v="14.63"/>
    <x v="0"/>
  </r>
  <r>
    <x v="0"/>
    <s v="君津市"/>
    <x v="29"/>
    <x v="9"/>
    <n v="74"/>
    <n v="4.1399999999999997"/>
    <n v="30"/>
    <n v="3.08"/>
    <n v="44"/>
    <n v="5.5"/>
    <x v="0"/>
  </r>
  <r>
    <x v="0"/>
    <s v="君津市"/>
    <x v="29"/>
    <x v="10"/>
    <n v="357"/>
    <n v="19.98"/>
    <n v="315"/>
    <n v="32.31"/>
    <n v="41"/>
    <n v="5.13"/>
    <x v="1"/>
  </r>
  <r>
    <x v="0"/>
    <s v="君津市"/>
    <x v="29"/>
    <x v="11"/>
    <n v="256"/>
    <n v="14.33"/>
    <n v="214"/>
    <n v="21.95"/>
    <n v="41"/>
    <n v="5.13"/>
    <x v="1"/>
  </r>
  <r>
    <x v="0"/>
    <s v="君津市"/>
    <x v="29"/>
    <x v="12"/>
    <n v="64"/>
    <n v="3.58"/>
    <n v="48"/>
    <n v="4.92"/>
    <n v="14"/>
    <n v="1.75"/>
    <x v="0"/>
  </r>
  <r>
    <x v="0"/>
    <s v="君津市"/>
    <x v="29"/>
    <x v="13"/>
    <n v="81"/>
    <n v="4.53"/>
    <n v="50"/>
    <n v="5.13"/>
    <n v="28"/>
    <n v="3.5"/>
    <x v="1"/>
  </r>
  <r>
    <x v="0"/>
    <s v="君津市"/>
    <x v="29"/>
    <x v="14"/>
    <n v="61"/>
    <n v="3.41"/>
    <n v="28"/>
    <n v="2.87"/>
    <n v="28"/>
    <n v="3.5"/>
    <x v="10"/>
  </r>
  <r>
    <x v="0"/>
    <s v="富津市"/>
    <x v="30"/>
    <x v="0"/>
    <n v="0"/>
    <n v="0"/>
    <n v="0"/>
    <n v="0"/>
    <n v="0"/>
    <n v="0"/>
    <x v="0"/>
  </r>
  <r>
    <x v="0"/>
    <s v="富津市"/>
    <x v="30"/>
    <x v="1"/>
    <n v="215"/>
    <n v="20.63"/>
    <n v="85"/>
    <n v="14.51"/>
    <n v="130"/>
    <n v="28.82"/>
    <x v="0"/>
  </r>
  <r>
    <x v="0"/>
    <s v="富津市"/>
    <x v="30"/>
    <x v="2"/>
    <n v="91"/>
    <n v="8.73"/>
    <n v="35"/>
    <n v="5.97"/>
    <n v="56"/>
    <n v="12.42"/>
    <x v="0"/>
  </r>
  <r>
    <x v="0"/>
    <s v="富津市"/>
    <x v="30"/>
    <x v="3"/>
    <n v="3"/>
    <n v="0.28999999999999998"/>
    <n v="0"/>
    <n v="0"/>
    <n v="2"/>
    <n v="0.44"/>
    <x v="0"/>
  </r>
  <r>
    <x v="0"/>
    <s v="富津市"/>
    <x v="30"/>
    <x v="4"/>
    <n v="7"/>
    <n v="0.67"/>
    <n v="1"/>
    <n v="0.17"/>
    <n v="6"/>
    <n v="1.33"/>
    <x v="0"/>
  </r>
  <r>
    <x v="0"/>
    <s v="富津市"/>
    <x v="30"/>
    <x v="5"/>
    <n v="10"/>
    <n v="0.96"/>
    <n v="4"/>
    <n v="0.68"/>
    <n v="5"/>
    <n v="1.1100000000000001"/>
    <x v="1"/>
  </r>
  <r>
    <x v="0"/>
    <s v="富津市"/>
    <x v="30"/>
    <x v="6"/>
    <n v="231"/>
    <n v="22.17"/>
    <n v="121"/>
    <n v="20.65"/>
    <n v="110"/>
    <n v="24.39"/>
    <x v="0"/>
  </r>
  <r>
    <x v="0"/>
    <s v="富津市"/>
    <x v="30"/>
    <x v="7"/>
    <n v="4"/>
    <n v="0.38"/>
    <n v="2"/>
    <n v="0.34"/>
    <n v="2"/>
    <n v="0.44"/>
    <x v="0"/>
  </r>
  <r>
    <x v="0"/>
    <s v="富津市"/>
    <x v="30"/>
    <x v="8"/>
    <n v="38"/>
    <n v="3.65"/>
    <n v="12"/>
    <n v="2.0499999999999998"/>
    <n v="26"/>
    <n v="5.76"/>
    <x v="0"/>
  </r>
  <r>
    <x v="0"/>
    <s v="富津市"/>
    <x v="30"/>
    <x v="9"/>
    <n v="40"/>
    <n v="3.84"/>
    <n v="23"/>
    <n v="3.92"/>
    <n v="17"/>
    <n v="3.77"/>
    <x v="0"/>
  </r>
  <r>
    <x v="0"/>
    <s v="富津市"/>
    <x v="30"/>
    <x v="10"/>
    <n v="124"/>
    <n v="11.9"/>
    <n v="101"/>
    <n v="17.239999999999998"/>
    <n v="22"/>
    <n v="4.88"/>
    <x v="0"/>
  </r>
  <r>
    <x v="0"/>
    <s v="富津市"/>
    <x v="30"/>
    <x v="11"/>
    <n v="162"/>
    <n v="15.55"/>
    <n v="136"/>
    <n v="23.21"/>
    <n v="26"/>
    <n v="5.76"/>
    <x v="0"/>
  </r>
  <r>
    <x v="0"/>
    <s v="富津市"/>
    <x v="30"/>
    <x v="12"/>
    <n v="21"/>
    <n v="2.02"/>
    <n v="14"/>
    <n v="2.39"/>
    <n v="6"/>
    <n v="1.33"/>
    <x v="0"/>
  </r>
  <r>
    <x v="0"/>
    <s v="富津市"/>
    <x v="30"/>
    <x v="13"/>
    <n v="50"/>
    <n v="4.8"/>
    <n v="26"/>
    <n v="4.4400000000000004"/>
    <n v="23"/>
    <n v="5.0999999999999996"/>
    <x v="0"/>
  </r>
  <r>
    <x v="0"/>
    <s v="富津市"/>
    <x v="30"/>
    <x v="14"/>
    <n v="46"/>
    <n v="4.41"/>
    <n v="26"/>
    <n v="4.4400000000000004"/>
    <n v="20"/>
    <n v="4.43"/>
    <x v="0"/>
  </r>
  <r>
    <x v="0"/>
    <s v="浦安市"/>
    <x v="31"/>
    <x v="0"/>
    <n v="0"/>
    <n v="0"/>
    <n v="0"/>
    <n v="0"/>
    <n v="0"/>
    <n v="0"/>
    <x v="0"/>
  </r>
  <r>
    <x v="0"/>
    <s v="浦安市"/>
    <x v="31"/>
    <x v="1"/>
    <n v="198"/>
    <n v="9.57"/>
    <n v="13"/>
    <n v="2.4700000000000002"/>
    <n v="185"/>
    <n v="12.02"/>
    <x v="0"/>
  </r>
  <r>
    <x v="0"/>
    <s v="浦安市"/>
    <x v="31"/>
    <x v="2"/>
    <n v="115"/>
    <n v="5.56"/>
    <n v="13"/>
    <n v="2.4700000000000002"/>
    <n v="102"/>
    <n v="6.63"/>
    <x v="0"/>
  </r>
  <r>
    <x v="0"/>
    <s v="浦安市"/>
    <x v="31"/>
    <x v="3"/>
    <n v="6"/>
    <n v="0.28999999999999998"/>
    <n v="0"/>
    <n v="0"/>
    <n v="6"/>
    <n v="0.39"/>
    <x v="0"/>
  </r>
  <r>
    <x v="0"/>
    <s v="浦安市"/>
    <x v="31"/>
    <x v="4"/>
    <n v="96"/>
    <n v="4.6399999999999997"/>
    <n v="0"/>
    <n v="0"/>
    <n v="96"/>
    <n v="6.24"/>
    <x v="0"/>
  </r>
  <r>
    <x v="0"/>
    <s v="浦安市"/>
    <x v="31"/>
    <x v="5"/>
    <n v="31"/>
    <n v="1.5"/>
    <n v="2"/>
    <n v="0.38"/>
    <n v="29"/>
    <n v="1.88"/>
    <x v="0"/>
  </r>
  <r>
    <x v="0"/>
    <s v="浦安市"/>
    <x v="31"/>
    <x v="6"/>
    <n v="429"/>
    <n v="20.73"/>
    <n v="78"/>
    <n v="14.83"/>
    <n v="350"/>
    <n v="22.74"/>
    <x v="1"/>
  </r>
  <r>
    <x v="0"/>
    <s v="浦安市"/>
    <x v="31"/>
    <x v="7"/>
    <n v="17"/>
    <n v="0.82"/>
    <n v="0"/>
    <n v="0"/>
    <n v="17"/>
    <n v="1.1000000000000001"/>
    <x v="0"/>
  </r>
  <r>
    <x v="0"/>
    <s v="浦安市"/>
    <x v="31"/>
    <x v="8"/>
    <n v="297"/>
    <n v="14.35"/>
    <n v="26"/>
    <n v="4.9400000000000004"/>
    <n v="271"/>
    <n v="17.61"/>
    <x v="0"/>
  </r>
  <r>
    <x v="0"/>
    <s v="浦安市"/>
    <x v="31"/>
    <x v="9"/>
    <n v="180"/>
    <n v="8.6999999999999993"/>
    <n v="30"/>
    <n v="5.7"/>
    <n v="150"/>
    <n v="9.75"/>
    <x v="0"/>
  </r>
  <r>
    <x v="0"/>
    <s v="浦安市"/>
    <x v="31"/>
    <x v="10"/>
    <n v="195"/>
    <n v="9.42"/>
    <n v="121"/>
    <n v="23"/>
    <n v="74"/>
    <n v="4.8099999999999996"/>
    <x v="0"/>
  </r>
  <r>
    <x v="0"/>
    <s v="浦安市"/>
    <x v="31"/>
    <x v="11"/>
    <n v="227"/>
    <n v="10.97"/>
    <n v="131"/>
    <n v="24.9"/>
    <n v="95"/>
    <n v="6.17"/>
    <x v="0"/>
  </r>
  <r>
    <x v="0"/>
    <s v="浦安市"/>
    <x v="31"/>
    <x v="12"/>
    <n v="80"/>
    <n v="3.87"/>
    <n v="37"/>
    <n v="7.03"/>
    <n v="42"/>
    <n v="2.73"/>
    <x v="1"/>
  </r>
  <r>
    <x v="0"/>
    <s v="浦安市"/>
    <x v="31"/>
    <x v="13"/>
    <n v="97"/>
    <n v="4.6900000000000004"/>
    <n v="66"/>
    <n v="12.55"/>
    <n v="31"/>
    <n v="2.0099999999999998"/>
    <x v="0"/>
  </r>
  <r>
    <x v="0"/>
    <s v="浦安市"/>
    <x v="31"/>
    <x v="14"/>
    <n v="101"/>
    <n v="4.88"/>
    <n v="9"/>
    <n v="1.71"/>
    <n v="91"/>
    <n v="5.91"/>
    <x v="0"/>
  </r>
  <r>
    <x v="0"/>
    <s v="四街道市"/>
    <x v="32"/>
    <x v="0"/>
    <n v="0"/>
    <n v="0"/>
    <n v="0"/>
    <n v="0"/>
    <n v="0"/>
    <n v="0"/>
    <x v="0"/>
  </r>
  <r>
    <x v="0"/>
    <s v="四街道市"/>
    <x v="32"/>
    <x v="1"/>
    <n v="231"/>
    <n v="17.100000000000001"/>
    <n v="20"/>
    <n v="4.2300000000000004"/>
    <n v="211"/>
    <n v="24.09"/>
    <x v="0"/>
  </r>
  <r>
    <x v="0"/>
    <s v="四街道市"/>
    <x v="32"/>
    <x v="2"/>
    <n v="74"/>
    <n v="5.48"/>
    <n v="12"/>
    <n v="2.54"/>
    <n v="62"/>
    <n v="7.08"/>
    <x v="0"/>
  </r>
  <r>
    <x v="0"/>
    <s v="四街道市"/>
    <x v="32"/>
    <x v="3"/>
    <n v="1"/>
    <n v="7.0000000000000007E-2"/>
    <n v="0"/>
    <n v="0"/>
    <n v="1"/>
    <n v="0.11"/>
    <x v="0"/>
  </r>
  <r>
    <x v="0"/>
    <s v="四街道市"/>
    <x v="32"/>
    <x v="4"/>
    <n v="4"/>
    <n v="0.3"/>
    <n v="0"/>
    <n v="0"/>
    <n v="4"/>
    <n v="0.46"/>
    <x v="0"/>
  </r>
  <r>
    <x v="0"/>
    <s v="四街道市"/>
    <x v="32"/>
    <x v="5"/>
    <n v="13"/>
    <n v="0.96"/>
    <n v="0"/>
    <n v="0"/>
    <n v="13"/>
    <n v="1.48"/>
    <x v="0"/>
  </r>
  <r>
    <x v="0"/>
    <s v="四街道市"/>
    <x v="32"/>
    <x v="6"/>
    <n v="324"/>
    <n v="23.98"/>
    <n v="88"/>
    <n v="18.600000000000001"/>
    <n v="236"/>
    <n v="26.94"/>
    <x v="0"/>
  </r>
  <r>
    <x v="0"/>
    <s v="四街道市"/>
    <x v="32"/>
    <x v="7"/>
    <n v="9"/>
    <n v="0.67"/>
    <n v="0"/>
    <n v="0"/>
    <n v="9"/>
    <n v="1.03"/>
    <x v="0"/>
  </r>
  <r>
    <x v="0"/>
    <s v="四街道市"/>
    <x v="32"/>
    <x v="8"/>
    <n v="127"/>
    <n v="9.4"/>
    <n v="14"/>
    <n v="2.96"/>
    <n v="113"/>
    <n v="12.9"/>
    <x v="0"/>
  </r>
  <r>
    <x v="0"/>
    <s v="四街道市"/>
    <x v="32"/>
    <x v="9"/>
    <n v="74"/>
    <n v="5.48"/>
    <n v="24"/>
    <n v="5.07"/>
    <n v="50"/>
    <n v="5.71"/>
    <x v="0"/>
  </r>
  <r>
    <x v="0"/>
    <s v="四街道市"/>
    <x v="32"/>
    <x v="10"/>
    <n v="104"/>
    <n v="7.7"/>
    <n v="76"/>
    <n v="16.07"/>
    <n v="27"/>
    <n v="3.08"/>
    <x v="0"/>
  </r>
  <r>
    <x v="0"/>
    <s v="四街道市"/>
    <x v="32"/>
    <x v="11"/>
    <n v="187"/>
    <n v="13.84"/>
    <n v="128"/>
    <n v="27.06"/>
    <n v="59"/>
    <n v="6.74"/>
    <x v="0"/>
  </r>
  <r>
    <x v="0"/>
    <s v="四街道市"/>
    <x v="32"/>
    <x v="12"/>
    <n v="71"/>
    <n v="5.26"/>
    <n v="48"/>
    <n v="10.15"/>
    <n v="23"/>
    <n v="2.63"/>
    <x v="0"/>
  </r>
  <r>
    <x v="0"/>
    <s v="四街道市"/>
    <x v="32"/>
    <x v="13"/>
    <n v="75"/>
    <n v="5.55"/>
    <n v="47"/>
    <n v="9.94"/>
    <n v="28"/>
    <n v="3.2"/>
    <x v="0"/>
  </r>
  <r>
    <x v="0"/>
    <s v="四街道市"/>
    <x v="32"/>
    <x v="14"/>
    <n v="57"/>
    <n v="4.22"/>
    <n v="16"/>
    <n v="3.38"/>
    <n v="40"/>
    <n v="4.57"/>
    <x v="0"/>
  </r>
  <r>
    <x v="0"/>
    <s v="袖ケ浦市"/>
    <x v="33"/>
    <x v="0"/>
    <n v="0"/>
    <n v="0"/>
    <n v="0"/>
    <n v="0"/>
    <n v="0"/>
    <n v="0"/>
    <x v="0"/>
  </r>
  <r>
    <x v="0"/>
    <s v="袖ケ浦市"/>
    <x v="33"/>
    <x v="1"/>
    <n v="250"/>
    <n v="23.41"/>
    <n v="36"/>
    <n v="8.7200000000000006"/>
    <n v="214"/>
    <n v="32.97"/>
    <x v="0"/>
  </r>
  <r>
    <x v="0"/>
    <s v="袖ケ浦市"/>
    <x v="33"/>
    <x v="2"/>
    <n v="66"/>
    <n v="6.18"/>
    <n v="12"/>
    <n v="2.91"/>
    <n v="54"/>
    <n v="8.32"/>
    <x v="0"/>
  </r>
  <r>
    <x v="0"/>
    <s v="袖ケ浦市"/>
    <x v="33"/>
    <x v="3"/>
    <n v="4"/>
    <n v="0.37"/>
    <n v="0"/>
    <n v="0"/>
    <n v="3"/>
    <n v="0.46"/>
    <x v="0"/>
  </r>
  <r>
    <x v="0"/>
    <s v="袖ケ浦市"/>
    <x v="33"/>
    <x v="4"/>
    <n v="6"/>
    <n v="0.56000000000000005"/>
    <n v="1"/>
    <n v="0.24"/>
    <n v="5"/>
    <n v="0.77"/>
    <x v="0"/>
  </r>
  <r>
    <x v="0"/>
    <s v="袖ケ浦市"/>
    <x v="33"/>
    <x v="5"/>
    <n v="28"/>
    <n v="2.62"/>
    <n v="0"/>
    <n v="0"/>
    <n v="28"/>
    <n v="4.3099999999999996"/>
    <x v="0"/>
  </r>
  <r>
    <x v="0"/>
    <s v="袖ケ浦市"/>
    <x v="33"/>
    <x v="6"/>
    <n v="176"/>
    <n v="16.48"/>
    <n v="72"/>
    <n v="17.43"/>
    <n v="104"/>
    <n v="16.02"/>
    <x v="0"/>
  </r>
  <r>
    <x v="0"/>
    <s v="袖ケ浦市"/>
    <x v="33"/>
    <x v="7"/>
    <n v="8"/>
    <n v="0.75"/>
    <n v="1"/>
    <n v="0.24"/>
    <n v="7"/>
    <n v="1.08"/>
    <x v="0"/>
  </r>
  <r>
    <x v="0"/>
    <s v="袖ケ浦市"/>
    <x v="33"/>
    <x v="8"/>
    <n v="96"/>
    <n v="8.99"/>
    <n v="28"/>
    <n v="6.78"/>
    <n v="67"/>
    <n v="10.32"/>
    <x v="0"/>
  </r>
  <r>
    <x v="0"/>
    <s v="袖ケ浦市"/>
    <x v="33"/>
    <x v="9"/>
    <n v="51"/>
    <n v="4.78"/>
    <n v="19"/>
    <n v="4.5999999999999996"/>
    <n v="32"/>
    <n v="4.93"/>
    <x v="0"/>
  </r>
  <r>
    <x v="0"/>
    <s v="袖ケ浦市"/>
    <x v="33"/>
    <x v="10"/>
    <n v="110"/>
    <n v="10.3"/>
    <n v="85"/>
    <n v="20.58"/>
    <n v="25"/>
    <n v="3.85"/>
    <x v="0"/>
  </r>
  <r>
    <x v="0"/>
    <s v="袖ケ浦市"/>
    <x v="33"/>
    <x v="11"/>
    <n v="125"/>
    <n v="11.7"/>
    <n v="106"/>
    <n v="25.67"/>
    <n v="19"/>
    <n v="2.93"/>
    <x v="0"/>
  </r>
  <r>
    <x v="0"/>
    <s v="袖ケ浦市"/>
    <x v="33"/>
    <x v="12"/>
    <n v="30"/>
    <n v="2.81"/>
    <n v="15"/>
    <n v="3.63"/>
    <n v="11"/>
    <n v="1.69"/>
    <x v="0"/>
  </r>
  <r>
    <x v="0"/>
    <s v="袖ケ浦市"/>
    <x v="33"/>
    <x v="13"/>
    <n v="69"/>
    <n v="6.46"/>
    <n v="25"/>
    <n v="6.05"/>
    <n v="44"/>
    <n v="6.78"/>
    <x v="0"/>
  </r>
  <r>
    <x v="0"/>
    <s v="袖ケ浦市"/>
    <x v="33"/>
    <x v="14"/>
    <n v="49"/>
    <n v="4.59"/>
    <n v="13"/>
    <n v="3.15"/>
    <n v="36"/>
    <n v="5.55"/>
    <x v="0"/>
  </r>
  <r>
    <x v="0"/>
    <s v="八街市"/>
    <x v="34"/>
    <x v="0"/>
    <n v="0"/>
    <n v="0"/>
    <n v="0"/>
    <n v="0"/>
    <n v="0"/>
    <n v="0"/>
    <x v="0"/>
  </r>
  <r>
    <x v="0"/>
    <s v="八街市"/>
    <x v="34"/>
    <x v="1"/>
    <n v="330"/>
    <n v="22.88"/>
    <n v="89"/>
    <n v="14.08"/>
    <n v="241"/>
    <n v="29.94"/>
    <x v="0"/>
  </r>
  <r>
    <x v="0"/>
    <s v="八街市"/>
    <x v="34"/>
    <x v="2"/>
    <n v="171"/>
    <n v="11.86"/>
    <n v="35"/>
    <n v="5.54"/>
    <n v="136"/>
    <n v="16.89"/>
    <x v="0"/>
  </r>
  <r>
    <x v="0"/>
    <s v="八街市"/>
    <x v="34"/>
    <x v="3"/>
    <n v="2"/>
    <n v="0.14000000000000001"/>
    <n v="0"/>
    <n v="0"/>
    <n v="2"/>
    <n v="0.25"/>
    <x v="0"/>
  </r>
  <r>
    <x v="0"/>
    <s v="八街市"/>
    <x v="34"/>
    <x v="4"/>
    <n v="6"/>
    <n v="0.42"/>
    <n v="0"/>
    <n v="0"/>
    <n v="6"/>
    <n v="0.75"/>
    <x v="0"/>
  </r>
  <r>
    <x v="0"/>
    <s v="八街市"/>
    <x v="34"/>
    <x v="5"/>
    <n v="23"/>
    <n v="1.6"/>
    <n v="4"/>
    <n v="0.63"/>
    <n v="19"/>
    <n v="2.36"/>
    <x v="0"/>
  </r>
  <r>
    <x v="0"/>
    <s v="八街市"/>
    <x v="34"/>
    <x v="6"/>
    <n v="257"/>
    <n v="17.82"/>
    <n v="90"/>
    <n v="14.24"/>
    <n v="166"/>
    <n v="20.62"/>
    <x v="1"/>
  </r>
  <r>
    <x v="0"/>
    <s v="八街市"/>
    <x v="34"/>
    <x v="7"/>
    <n v="9"/>
    <n v="0.62"/>
    <n v="1"/>
    <n v="0.16"/>
    <n v="8"/>
    <n v="0.99"/>
    <x v="0"/>
  </r>
  <r>
    <x v="0"/>
    <s v="八街市"/>
    <x v="34"/>
    <x v="8"/>
    <n v="104"/>
    <n v="7.21"/>
    <n v="35"/>
    <n v="5.54"/>
    <n v="68"/>
    <n v="8.4499999999999993"/>
    <x v="0"/>
  </r>
  <r>
    <x v="0"/>
    <s v="八街市"/>
    <x v="34"/>
    <x v="9"/>
    <n v="54"/>
    <n v="3.74"/>
    <n v="28"/>
    <n v="4.43"/>
    <n v="25"/>
    <n v="3.11"/>
    <x v="0"/>
  </r>
  <r>
    <x v="0"/>
    <s v="八街市"/>
    <x v="34"/>
    <x v="10"/>
    <n v="126"/>
    <n v="8.74"/>
    <n v="104"/>
    <n v="16.46"/>
    <n v="22"/>
    <n v="2.73"/>
    <x v="0"/>
  </r>
  <r>
    <x v="0"/>
    <s v="八街市"/>
    <x v="34"/>
    <x v="11"/>
    <n v="167"/>
    <n v="11.58"/>
    <n v="137"/>
    <n v="21.68"/>
    <n v="30"/>
    <n v="3.73"/>
    <x v="0"/>
  </r>
  <r>
    <x v="0"/>
    <s v="八街市"/>
    <x v="34"/>
    <x v="12"/>
    <n v="45"/>
    <n v="3.12"/>
    <n v="29"/>
    <n v="4.59"/>
    <n v="14"/>
    <n v="1.74"/>
    <x v="0"/>
  </r>
  <r>
    <x v="0"/>
    <s v="八街市"/>
    <x v="34"/>
    <x v="13"/>
    <n v="61"/>
    <n v="4.2300000000000004"/>
    <n v="34"/>
    <n v="5.38"/>
    <n v="27"/>
    <n v="3.35"/>
    <x v="0"/>
  </r>
  <r>
    <x v="0"/>
    <s v="八街市"/>
    <x v="34"/>
    <x v="14"/>
    <n v="87"/>
    <n v="6.03"/>
    <n v="46"/>
    <n v="7.28"/>
    <n v="41"/>
    <n v="5.09"/>
    <x v="0"/>
  </r>
  <r>
    <x v="0"/>
    <s v="印西市"/>
    <x v="35"/>
    <x v="0"/>
    <n v="0"/>
    <n v="0"/>
    <n v="0"/>
    <n v="0"/>
    <n v="0"/>
    <n v="0"/>
    <x v="0"/>
  </r>
  <r>
    <x v="0"/>
    <s v="印西市"/>
    <x v="35"/>
    <x v="1"/>
    <n v="223"/>
    <n v="18.2"/>
    <n v="67"/>
    <n v="14.26"/>
    <n v="156"/>
    <n v="21.05"/>
    <x v="0"/>
  </r>
  <r>
    <x v="0"/>
    <s v="印西市"/>
    <x v="35"/>
    <x v="2"/>
    <n v="60"/>
    <n v="4.9000000000000004"/>
    <n v="21"/>
    <n v="4.47"/>
    <n v="39"/>
    <n v="5.26"/>
    <x v="0"/>
  </r>
  <r>
    <x v="0"/>
    <s v="印西市"/>
    <x v="35"/>
    <x v="3"/>
    <n v="7"/>
    <n v="0.56999999999999995"/>
    <n v="0"/>
    <n v="0"/>
    <n v="7"/>
    <n v="0.94"/>
    <x v="0"/>
  </r>
  <r>
    <x v="0"/>
    <s v="印西市"/>
    <x v="35"/>
    <x v="4"/>
    <n v="24"/>
    <n v="1.96"/>
    <n v="1"/>
    <n v="0.21"/>
    <n v="23"/>
    <n v="3.1"/>
    <x v="0"/>
  </r>
  <r>
    <x v="0"/>
    <s v="印西市"/>
    <x v="35"/>
    <x v="5"/>
    <n v="16"/>
    <n v="1.31"/>
    <n v="1"/>
    <n v="0.21"/>
    <n v="15"/>
    <n v="2.02"/>
    <x v="0"/>
  </r>
  <r>
    <x v="0"/>
    <s v="印西市"/>
    <x v="35"/>
    <x v="6"/>
    <n v="277"/>
    <n v="22.61"/>
    <n v="90"/>
    <n v="19.149999999999999"/>
    <n v="187"/>
    <n v="25.24"/>
    <x v="0"/>
  </r>
  <r>
    <x v="0"/>
    <s v="印西市"/>
    <x v="35"/>
    <x v="7"/>
    <n v="11"/>
    <n v="0.9"/>
    <n v="2"/>
    <n v="0.43"/>
    <n v="9"/>
    <n v="1.21"/>
    <x v="0"/>
  </r>
  <r>
    <x v="0"/>
    <s v="印西市"/>
    <x v="35"/>
    <x v="8"/>
    <n v="81"/>
    <n v="6.61"/>
    <n v="26"/>
    <n v="5.53"/>
    <n v="55"/>
    <n v="7.42"/>
    <x v="0"/>
  </r>
  <r>
    <x v="0"/>
    <s v="印西市"/>
    <x v="35"/>
    <x v="9"/>
    <n v="90"/>
    <n v="7.35"/>
    <n v="30"/>
    <n v="6.38"/>
    <n v="59"/>
    <n v="7.96"/>
    <x v="0"/>
  </r>
  <r>
    <x v="0"/>
    <s v="印西市"/>
    <x v="35"/>
    <x v="10"/>
    <n v="96"/>
    <n v="7.84"/>
    <n v="61"/>
    <n v="12.98"/>
    <n v="33"/>
    <n v="4.45"/>
    <x v="0"/>
  </r>
  <r>
    <x v="0"/>
    <s v="印西市"/>
    <x v="35"/>
    <x v="11"/>
    <n v="141"/>
    <n v="11.51"/>
    <n v="91"/>
    <n v="19.36"/>
    <n v="48"/>
    <n v="6.48"/>
    <x v="0"/>
  </r>
  <r>
    <x v="0"/>
    <s v="印西市"/>
    <x v="35"/>
    <x v="12"/>
    <n v="57"/>
    <n v="4.6500000000000004"/>
    <n v="28"/>
    <n v="5.96"/>
    <n v="24"/>
    <n v="3.24"/>
    <x v="0"/>
  </r>
  <r>
    <x v="0"/>
    <s v="印西市"/>
    <x v="35"/>
    <x v="13"/>
    <n v="69"/>
    <n v="5.63"/>
    <n v="29"/>
    <n v="6.17"/>
    <n v="39"/>
    <n v="5.26"/>
    <x v="0"/>
  </r>
  <r>
    <x v="0"/>
    <s v="印西市"/>
    <x v="35"/>
    <x v="14"/>
    <n v="73"/>
    <n v="5.96"/>
    <n v="23"/>
    <n v="4.8899999999999997"/>
    <n v="47"/>
    <n v="6.34"/>
    <x v="0"/>
  </r>
  <r>
    <x v="0"/>
    <s v="白井市"/>
    <x v="36"/>
    <x v="0"/>
    <n v="0"/>
    <n v="0"/>
    <n v="0"/>
    <n v="0"/>
    <n v="0"/>
    <n v="0"/>
    <x v="0"/>
  </r>
  <r>
    <x v="0"/>
    <s v="白井市"/>
    <x v="36"/>
    <x v="1"/>
    <n v="180"/>
    <n v="19.8"/>
    <n v="40"/>
    <n v="14.93"/>
    <n v="140"/>
    <n v="21.94"/>
    <x v="0"/>
  </r>
  <r>
    <x v="0"/>
    <s v="白井市"/>
    <x v="36"/>
    <x v="2"/>
    <n v="155"/>
    <n v="17.05"/>
    <n v="21"/>
    <n v="7.84"/>
    <n v="134"/>
    <n v="21"/>
    <x v="0"/>
  </r>
  <r>
    <x v="0"/>
    <s v="白井市"/>
    <x v="36"/>
    <x v="3"/>
    <n v="0"/>
    <n v="0"/>
    <n v="0"/>
    <n v="0"/>
    <n v="0"/>
    <n v="0"/>
    <x v="0"/>
  </r>
  <r>
    <x v="0"/>
    <s v="白井市"/>
    <x v="36"/>
    <x v="4"/>
    <n v="15"/>
    <n v="1.65"/>
    <n v="0"/>
    <n v="0"/>
    <n v="15"/>
    <n v="2.35"/>
    <x v="0"/>
  </r>
  <r>
    <x v="0"/>
    <s v="白井市"/>
    <x v="36"/>
    <x v="5"/>
    <n v="21"/>
    <n v="2.31"/>
    <n v="0"/>
    <n v="0"/>
    <n v="21"/>
    <n v="3.29"/>
    <x v="0"/>
  </r>
  <r>
    <x v="0"/>
    <s v="白井市"/>
    <x v="36"/>
    <x v="6"/>
    <n v="169"/>
    <n v="18.59"/>
    <n v="41"/>
    <n v="15.3"/>
    <n v="127"/>
    <n v="19.91"/>
    <x v="1"/>
  </r>
  <r>
    <x v="0"/>
    <s v="白井市"/>
    <x v="36"/>
    <x v="7"/>
    <n v="2"/>
    <n v="0.22"/>
    <n v="0"/>
    <n v="0"/>
    <n v="2"/>
    <n v="0.31"/>
    <x v="0"/>
  </r>
  <r>
    <x v="0"/>
    <s v="白井市"/>
    <x v="36"/>
    <x v="8"/>
    <n v="58"/>
    <n v="6.38"/>
    <n v="2"/>
    <n v="0.75"/>
    <n v="56"/>
    <n v="8.7799999999999994"/>
    <x v="0"/>
  </r>
  <r>
    <x v="0"/>
    <s v="白井市"/>
    <x v="36"/>
    <x v="9"/>
    <n v="49"/>
    <n v="5.39"/>
    <n v="15"/>
    <n v="5.6"/>
    <n v="34"/>
    <n v="5.33"/>
    <x v="0"/>
  </r>
  <r>
    <x v="0"/>
    <s v="白井市"/>
    <x v="36"/>
    <x v="10"/>
    <n v="57"/>
    <n v="6.27"/>
    <n v="44"/>
    <n v="16.420000000000002"/>
    <n v="13"/>
    <n v="2.04"/>
    <x v="0"/>
  </r>
  <r>
    <x v="0"/>
    <s v="白井市"/>
    <x v="36"/>
    <x v="11"/>
    <n v="78"/>
    <n v="8.58"/>
    <n v="56"/>
    <n v="20.9"/>
    <n v="22"/>
    <n v="3.45"/>
    <x v="0"/>
  </r>
  <r>
    <x v="0"/>
    <s v="白井市"/>
    <x v="36"/>
    <x v="12"/>
    <n v="42"/>
    <n v="4.62"/>
    <n v="17"/>
    <n v="6.34"/>
    <n v="24"/>
    <n v="3.76"/>
    <x v="0"/>
  </r>
  <r>
    <x v="0"/>
    <s v="白井市"/>
    <x v="36"/>
    <x v="13"/>
    <n v="34"/>
    <n v="3.74"/>
    <n v="21"/>
    <n v="7.84"/>
    <n v="13"/>
    <n v="2.04"/>
    <x v="0"/>
  </r>
  <r>
    <x v="0"/>
    <s v="白井市"/>
    <x v="36"/>
    <x v="14"/>
    <n v="49"/>
    <n v="5.39"/>
    <n v="11"/>
    <n v="4.0999999999999996"/>
    <n v="37"/>
    <n v="5.8"/>
    <x v="1"/>
  </r>
  <r>
    <x v="0"/>
    <s v="富里市"/>
    <x v="37"/>
    <x v="0"/>
    <n v="0"/>
    <n v="0"/>
    <n v="0"/>
    <n v="0"/>
    <n v="0"/>
    <n v="0"/>
    <x v="0"/>
  </r>
  <r>
    <x v="0"/>
    <s v="富里市"/>
    <x v="37"/>
    <x v="1"/>
    <n v="162"/>
    <n v="18.86"/>
    <n v="36"/>
    <n v="9.6"/>
    <n v="126"/>
    <n v="26.36"/>
    <x v="0"/>
  </r>
  <r>
    <x v="0"/>
    <s v="富里市"/>
    <x v="37"/>
    <x v="2"/>
    <n v="42"/>
    <n v="4.8899999999999997"/>
    <n v="10"/>
    <n v="2.67"/>
    <n v="32"/>
    <n v="6.69"/>
    <x v="0"/>
  </r>
  <r>
    <x v="0"/>
    <s v="富里市"/>
    <x v="37"/>
    <x v="3"/>
    <n v="3"/>
    <n v="0.35"/>
    <n v="0"/>
    <n v="0"/>
    <n v="3"/>
    <n v="0.63"/>
    <x v="0"/>
  </r>
  <r>
    <x v="0"/>
    <s v="富里市"/>
    <x v="37"/>
    <x v="4"/>
    <n v="4"/>
    <n v="0.47"/>
    <n v="1"/>
    <n v="0.27"/>
    <n v="3"/>
    <n v="0.63"/>
    <x v="0"/>
  </r>
  <r>
    <x v="0"/>
    <s v="富里市"/>
    <x v="37"/>
    <x v="5"/>
    <n v="26"/>
    <n v="3.03"/>
    <n v="2"/>
    <n v="0.53"/>
    <n v="24"/>
    <n v="5.0199999999999996"/>
    <x v="0"/>
  </r>
  <r>
    <x v="0"/>
    <s v="富里市"/>
    <x v="37"/>
    <x v="6"/>
    <n v="166"/>
    <n v="19.32"/>
    <n v="62"/>
    <n v="16.53"/>
    <n v="104"/>
    <n v="21.76"/>
    <x v="0"/>
  </r>
  <r>
    <x v="0"/>
    <s v="富里市"/>
    <x v="37"/>
    <x v="7"/>
    <n v="4"/>
    <n v="0.47"/>
    <n v="0"/>
    <n v="0"/>
    <n v="4"/>
    <n v="0.84"/>
    <x v="0"/>
  </r>
  <r>
    <x v="0"/>
    <s v="富里市"/>
    <x v="37"/>
    <x v="8"/>
    <n v="97"/>
    <n v="11.29"/>
    <n v="26"/>
    <n v="6.93"/>
    <n v="71"/>
    <n v="14.85"/>
    <x v="0"/>
  </r>
  <r>
    <x v="0"/>
    <s v="富里市"/>
    <x v="37"/>
    <x v="9"/>
    <n v="33"/>
    <n v="3.84"/>
    <n v="12"/>
    <n v="3.2"/>
    <n v="21"/>
    <n v="4.3899999999999997"/>
    <x v="0"/>
  </r>
  <r>
    <x v="0"/>
    <s v="富里市"/>
    <x v="37"/>
    <x v="10"/>
    <n v="96"/>
    <n v="11.18"/>
    <n v="73"/>
    <n v="19.47"/>
    <n v="22"/>
    <n v="4.5999999999999996"/>
    <x v="0"/>
  </r>
  <r>
    <x v="0"/>
    <s v="富里市"/>
    <x v="37"/>
    <x v="11"/>
    <n v="123"/>
    <n v="14.32"/>
    <n v="92"/>
    <n v="24.53"/>
    <n v="30"/>
    <n v="6.28"/>
    <x v="0"/>
  </r>
  <r>
    <x v="0"/>
    <s v="富里市"/>
    <x v="37"/>
    <x v="12"/>
    <n v="21"/>
    <n v="2.44"/>
    <n v="17"/>
    <n v="4.53"/>
    <n v="4"/>
    <n v="0.84"/>
    <x v="0"/>
  </r>
  <r>
    <x v="0"/>
    <s v="富里市"/>
    <x v="37"/>
    <x v="13"/>
    <n v="42"/>
    <n v="4.8899999999999997"/>
    <n v="29"/>
    <n v="7.73"/>
    <n v="12"/>
    <n v="2.5099999999999998"/>
    <x v="0"/>
  </r>
  <r>
    <x v="0"/>
    <s v="富里市"/>
    <x v="37"/>
    <x v="14"/>
    <n v="40"/>
    <n v="4.66"/>
    <n v="15"/>
    <n v="4"/>
    <n v="22"/>
    <n v="4.5999999999999996"/>
    <x v="1"/>
  </r>
  <r>
    <x v="0"/>
    <s v="南房総市"/>
    <x v="38"/>
    <x v="0"/>
    <n v="0"/>
    <n v="0"/>
    <n v="0"/>
    <n v="0"/>
    <n v="0"/>
    <n v="0"/>
    <x v="0"/>
  </r>
  <r>
    <x v="0"/>
    <s v="南房総市"/>
    <x v="38"/>
    <x v="1"/>
    <n v="223"/>
    <n v="18.68"/>
    <n v="133"/>
    <n v="16.920000000000002"/>
    <n v="90"/>
    <n v="22.5"/>
    <x v="0"/>
  </r>
  <r>
    <x v="0"/>
    <s v="南房総市"/>
    <x v="38"/>
    <x v="2"/>
    <n v="82"/>
    <n v="6.87"/>
    <n v="42"/>
    <n v="5.34"/>
    <n v="39"/>
    <n v="9.75"/>
    <x v="1"/>
  </r>
  <r>
    <x v="0"/>
    <s v="南房総市"/>
    <x v="38"/>
    <x v="3"/>
    <n v="3"/>
    <n v="0.25"/>
    <n v="0"/>
    <n v="0"/>
    <n v="2"/>
    <n v="0.5"/>
    <x v="0"/>
  </r>
  <r>
    <x v="0"/>
    <s v="南房総市"/>
    <x v="38"/>
    <x v="4"/>
    <n v="6"/>
    <n v="0.5"/>
    <n v="2"/>
    <n v="0.25"/>
    <n v="4"/>
    <n v="1"/>
    <x v="0"/>
  </r>
  <r>
    <x v="0"/>
    <s v="南房総市"/>
    <x v="38"/>
    <x v="5"/>
    <n v="13"/>
    <n v="1.0900000000000001"/>
    <n v="2"/>
    <n v="0.25"/>
    <n v="11"/>
    <n v="2.75"/>
    <x v="0"/>
  </r>
  <r>
    <x v="0"/>
    <s v="南房総市"/>
    <x v="38"/>
    <x v="6"/>
    <n v="280"/>
    <n v="23.45"/>
    <n v="170"/>
    <n v="21.63"/>
    <n v="110"/>
    <n v="27.5"/>
    <x v="0"/>
  </r>
  <r>
    <x v="0"/>
    <s v="南房総市"/>
    <x v="38"/>
    <x v="7"/>
    <n v="4"/>
    <n v="0.34"/>
    <n v="2"/>
    <n v="0.25"/>
    <n v="2"/>
    <n v="0.5"/>
    <x v="0"/>
  </r>
  <r>
    <x v="0"/>
    <s v="南房総市"/>
    <x v="38"/>
    <x v="8"/>
    <n v="63"/>
    <n v="5.28"/>
    <n v="29"/>
    <n v="3.69"/>
    <n v="33"/>
    <n v="8.25"/>
    <x v="0"/>
  </r>
  <r>
    <x v="0"/>
    <s v="南房総市"/>
    <x v="38"/>
    <x v="9"/>
    <n v="34"/>
    <n v="2.85"/>
    <n v="21"/>
    <n v="2.67"/>
    <n v="13"/>
    <n v="3.25"/>
    <x v="0"/>
  </r>
  <r>
    <x v="0"/>
    <s v="南房総市"/>
    <x v="38"/>
    <x v="10"/>
    <n v="211"/>
    <n v="17.670000000000002"/>
    <n v="178"/>
    <n v="22.65"/>
    <n v="33"/>
    <n v="8.25"/>
    <x v="0"/>
  </r>
  <r>
    <x v="0"/>
    <s v="南房総市"/>
    <x v="38"/>
    <x v="11"/>
    <n v="153"/>
    <n v="12.81"/>
    <n v="139"/>
    <n v="17.68"/>
    <n v="14"/>
    <n v="3.5"/>
    <x v="0"/>
  </r>
  <r>
    <x v="0"/>
    <s v="南房総市"/>
    <x v="38"/>
    <x v="12"/>
    <n v="26"/>
    <n v="2.1800000000000002"/>
    <n v="21"/>
    <n v="2.67"/>
    <n v="2"/>
    <n v="0.5"/>
    <x v="0"/>
  </r>
  <r>
    <x v="0"/>
    <s v="南房総市"/>
    <x v="38"/>
    <x v="13"/>
    <n v="54"/>
    <n v="4.5199999999999996"/>
    <n v="24"/>
    <n v="3.05"/>
    <n v="29"/>
    <n v="7.25"/>
    <x v="0"/>
  </r>
  <r>
    <x v="0"/>
    <s v="南房総市"/>
    <x v="38"/>
    <x v="14"/>
    <n v="42"/>
    <n v="3.52"/>
    <n v="23"/>
    <n v="2.93"/>
    <n v="18"/>
    <n v="4.5"/>
    <x v="0"/>
  </r>
  <r>
    <x v="0"/>
    <s v="匝瑳市"/>
    <x v="39"/>
    <x v="0"/>
    <n v="0"/>
    <n v="0"/>
    <n v="0"/>
    <n v="0"/>
    <n v="0"/>
    <n v="0"/>
    <x v="0"/>
  </r>
  <r>
    <x v="0"/>
    <s v="匝瑳市"/>
    <x v="39"/>
    <x v="1"/>
    <n v="232"/>
    <n v="24.6"/>
    <n v="115"/>
    <n v="20.43"/>
    <n v="117"/>
    <n v="31.79"/>
    <x v="0"/>
  </r>
  <r>
    <x v="0"/>
    <s v="匝瑳市"/>
    <x v="39"/>
    <x v="2"/>
    <n v="65"/>
    <n v="6.89"/>
    <n v="20"/>
    <n v="3.55"/>
    <n v="45"/>
    <n v="12.23"/>
    <x v="0"/>
  </r>
  <r>
    <x v="0"/>
    <s v="匝瑳市"/>
    <x v="39"/>
    <x v="3"/>
    <n v="3"/>
    <n v="0.32"/>
    <n v="0"/>
    <n v="0"/>
    <n v="3"/>
    <n v="0.82"/>
    <x v="0"/>
  </r>
  <r>
    <x v="0"/>
    <s v="匝瑳市"/>
    <x v="39"/>
    <x v="4"/>
    <n v="2"/>
    <n v="0.21"/>
    <n v="0"/>
    <n v="0"/>
    <n v="2"/>
    <n v="0.54"/>
    <x v="0"/>
  </r>
  <r>
    <x v="0"/>
    <s v="匝瑳市"/>
    <x v="39"/>
    <x v="5"/>
    <n v="10"/>
    <n v="1.06"/>
    <n v="3"/>
    <n v="0.53"/>
    <n v="7"/>
    <n v="1.9"/>
    <x v="0"/>
  </r>
  <r>
    <x v="0"/>
    <s v="匝瑳市"/>
    <x v="39"/>
    <x v="6"/>
    <n v="232"/>
    <n v="24.6"/>
    <n v="139"/>
    <n v="24.69"/>
    <n v="92"/>
    <n v="25"/>
    <x v="1"/>
  </r>
  <r>
    <x v="0"/>
    <s v="匝瑳市"/>
    <x v="39"/>
    <x v="7"/>
    <n v="8"/>
    <n v="0.85"/>
    <n v="1"/>
    <n v="0.18"/>
    <n v="7"/>
    <n v="1.9"/>
    <x v="0"/>
  </r>
  <r>
    <x v="0"/>
    <s v="匝瑳市"/>
    <x v="39"/>
    <x v="8"/>
    <n v="45"/>
    <n v="4.7699999999999996"/>
    <n v="9"/>
    <n v="1.6"/>
    <n v="35"/>
    <n v="9.51"/>
    <x v="0"/>
  </r>
  <r>
    <x v="0"/>
    <s v="匝瑳市"/>
    <x v="39"/>
    <x v="9"/>
    <n v="31"/>
    <n v="3.29"/>
    <n v="17"/>
    <n v="3.02"/>
    <n v="14"/>
    <n v="3.8"/>
    <x v="0"/>
  </r>
  <r>
    <x v="0"/>
    <s v="匝瑳市"/>
    <x v="39"/>
    <x v="10"/>
    <n v="89"/>
    <n v="9.44"/>
    <n v="74"/>
    <n v="13.14"/>
    <n v="15"/>
    <n v="4.08"/>
    <x v="0"/>
  </r>
  <r>
    <x v="0"/>
    <s v="匝瑳市"/>
    <x v="39"/>
    <x v="11"/>
    <n v="139"/>
    <n v="14.74"/>
    <n v="126"/>
    <n v="22.38"/>
    <n v="12"/>
    <n v="3.26"/>
    <x v="0"/>
  </r>
  <r>
    <x v="0"/>
    <s v="匝瑳市"/>
    <x v="39"/>
    <x v="12"/>
    <n v="20"/>
    <n v="2.12"/>
    <n v="14"/>
    <n v="2.4900000000000002"/>
    <n v="5"/>
    <n v="1.36"/>
    <x v="0"/>
  </r>
  <r>
    <x v="0"/>
    <s v="匝瑳市"/>
    <x v="39"/>
    <x v="13"/>
    <n v="29"/>
    <n v="3.08"/>
    <n v="20"/>
    <n v="3.55"/>
    <n v="2"/>
    <n v="0.54"/>
    <x v="0"/>
  </r>
  <r>
    <x v="0"/>
    <s v="匝瑳市"/>
    <x v="39"/>
    <x v="14"/>
    <n v="38"/>
    <n v="4.03"/>
    <n v="25"/>
    <n v="4.4400000000000004"/>
    <n v="12"/>
    <n v="3.26"/>
    <x v="0"/>
  </r>
  <r>
    <x v="0"/>
    <s v="香取市"/>
    <x v="40"/>
    <x v="0"/>
    <n v="1"/>
    <n v="0.05"/>
    <n v="0"/>
    <n v="0"/>
    <n v="1"/>
    <n v="0.12"/>
    <x v="0"/>
  </r>
  <r>
    <x v="0"/>
    <s v="香取市"/>
    <x v="40"/>
    <x v="1"/>
    <n v="399"/>
    <n v="20.25"/>
    <n v="177"/>
    <n v="15.27"/>
    <n v="222"/>
    <n v="27.72"/>
    <x v="0"/>
  </r>
  <r>
    <x v="0"/>
    <s v="香取市"/>
    <x v="40"/>
    <x v="2"/>
    <n v="131"/>
    <n v="6.65"/>
    <n v="54"/>
    <n v="4.66"/>
    <n v="77"/>
    <n v="9.61"/>
    <x v="0"/>
  </r>
  <r>
    <x v="0"/>
    <s v="香取市"/>
    <x v="40"/>
    <x v="3"/>
    <n v="6"/>
    <n v="0.3"/>
    <n v="0"/>
    <n v="0"/>
    <n v="6"/>
    <n v="0.75"/>
    <x v="0"/>
  </r>
  <r>
    <x v="0"/>
    <s v="香取市"/>
    <x v="40"/>
    <x v="4"/>
    <n v="6"/>
    <n v="0.3"/>
    <n v="0"/>
    <n v="0"/>
    <n v="6"/>
    <n v="0.75"/>
    <x v="0"/>
  </r>
  <r>
    <x v="0"/>
    <s v="香取市"/>
    <x v="40"/>
    <x v="5"/>
    <n v="17"/>
    <n v="0.86"/>
    <n v="1"/>
    <n v="0.09"/>
    <n v="16"/>
    <n v="2"/>
    <x v="0"/>
  </r>
  <r>
    <x v="0"/>
    <s v="香取市"/>
    <x v="40"/>
    <x v="6"/>
    <n v="579"/>
    <n v="29.39"/>
    <n v="330"/>
    <n v="28.47"/>
    <n v="249"/>
    <n v="31.09"/>
    <x v="0"/>
  </r>
  <r>
    <x v="0"/>
    <s v="香取市"/>
    <x v="40"/>
    <x v="7"/>
    <n v="13"/>
    <n v="0.66"/>
    <n v="2"/>
    <n v="0.17"/>
    <n v="11"/>
    <n v="1.37"/>
    <x v="0"/>
  </r>
  <r>
    <x v="0"/>
    <s v="香取市"/>
    <x v="40"/>
    <x v="8"/>
    <n v="111"/>
    <n v="5.63"/>
    <n v="47"/>
    <n v="4.0599999999999996"/>
    <n v="64"/>
    <n v="7.99"/>
    <x v="0"/>
  </r>
  <r>
    <x v="0"/>
    <s v="香取市"/>
    <x v="40"/>
    <x v="9"/>
    <n v="69"/>
    <n v="3.5"/>
    <n v="39"/>
    <n v="3.36"/>
    <n v="29"/>
    <n v="3.62"/>
    <x v="0"/>
  </r>
  <r>
    <x v="0"/>
    <s v="香取市"/>
    <x v="40"/>
    <x v="10"/>
    <n v="190"/>
    <n v="9.64"/>
    <n v="171"/>
    <n v="14.75"/>
    <n v="19"/>
    <n v="2.37"/>
    <x v="0"/>
  </r>
  <r>
    <x v="0"/>
    <s v="香取市"/>
    <x v="40"/>
    <x v="11"/>
    <n v="251"/>
    <n v="12.74"/>
    <n v="205"/>
    <n v="17.690000000000001"/>
    <n v="44"/>
    <n v="5.49"/>
    <x v="0"/>
  </r>
  <r>
    <x v="0"/>
    <s v="香取市"/>
    <x v="40"/>
    <x v="12"/>
    <n v="41"/>
    <n v="2.08"/>
    <n v="26"/>
    <n v="2.2400000000000002"/>
    <n v="13"/>
    <n v="1.62"/>
    <x v="0"/>
  </r>
  <r>
    <x v="0"/>
    <s v="香取市"/>
    <x v="40"/>
    <x v="13"/>
    <n v="68"/>
    <n v="3.45"/>
    <n v="50"/>
    <n v="4.3099999999999996"/>
    <n v="17"/>
    <n v="2.12"/>
    <x v="0"/>
  </r>
  <r>
    <x v="0"/>
    <s v="香取市"/>
    <x v="40"/>
    <x v="14"/>
    <n v="88"/>
    <n v="4.47"/>
    <n v="57"/>
    <n v="4.92"/>
    <n v="27"/>
    <n v="3.37"/>
    <x v="1"/>
  </r>
  <r>
    <x v="0"/>
    <s v="山武市"/>
    <x v="41"/>
    <x v="0"/>
    <n v="1"/>
    <n v="0.11"/>
    <n v="0"/>
    <n v="0"/>
    <n v="1"/>
    <n v="0.21"/>
    <x v="0"/>
  </r>
  <r>
    <x v="0"/>
    <s v="山武市"/>
    <x v="41"/>
    <x v="1"/>
    <n v="193"/>
    <n v="20.36"/>
    <n v="67"/>
    <n v="14.44"/>
    <n v="126"/>
    <n v="26.42"/>
    <x v="0"/>
  </r>
  <r>
    <x v="0"/>
    <s v="山武市"/>
    <x v="41"/>
    <x v="2"/>
    <n v="116"/>
    <n v="12.24"/>
    <n v="34"/>
    <n v="7.33"/>
    <n v="82"/>
    <n v="17.190000000000001"/>
    <x v="0"/>
  </r>
  <r>
    <x v="0"/>
    <s v="山武市"/>
    <x v="41"/>
    <x v="3"/>
    <n v="9"/>
    <n v="0.95"/>
    <n v="0"/>
    <n v="0"/>
    <n v="9"/>
    <n v="1.89"/>
    <x v="0"/>
  </r>
  <r>
    <x v="0"/>
    <s v="山武市"/>
    <x v="41"/>
    <x v="4"/>
    <n v="3"/>
    <n v="0.32"/>
    <n v="1"/>
    <n v="0.22"/>
    <n v="2"/>
    <n v="0.42"/>
    <x v="0"/>
  </r>
  <r>
    <x v="0"/>
    <s v="山武市"/>
    <x v="41"/>
    <x v="5"/>
    <n v="14"/>
    <n v="1.48"/>
    <n v="1"/>
    <n v="0.22"/>
    <n v="13"/>
    <n v="2.73"/>
    <x v="0"/>
  </r>
  <r>
    <x v="0"/>
    <s v="山武市"/>
    <x v="41"/>
    <x v="6"/>
    <n v="200"/>
    <n v="21.1"/>
    <n v="89"/>
    <n v="19.18"/>
    <n v="111"/>
    <n v="23.27"/>
    <x v="0"/>
  </r>
  <r>
    <x v="0"/>
    <s v="山武市"/>
    <x v="41"/>
    <x v="7"/>
    <n v="6"/>
    <n v="0.63"/>
    <n v="1"/>
    <n v="0.22"/>
    <n v="5"/>
    <n v="1.05"/>
    <x v="0"/>
  </r>
  <r>
    <x v="0"/>
    <s v="山武市"/>
    <x v="41"/>
    <x v="8"/>
    <n v="51"/>
    <n v="5.38"/>
    <n v="16"/>
    <n v="3.45"/>
    <n v="35"/>
    <n v="7.34"/>
    <x v="0"/>
  </r>
  <r>
    <x v="0"/>
    <s v="山武市"/>
    <x v="41"/>
    <x v="9"/>
    <n v="37"/>
    <n v="3.9"/>
    <n v="18"/>
    <n v="3.88"/>
    <n v="18"/>
    <n v="3.77"/>
    <x v="1"/>
  </r>
  <r>
    <x v="0"/>
    <s v="山武市"/>
    <x v="41"/>
    <x v="10"/>
    <n v="100"/>
    <n v="10.55"/>
    <n v="84"/>
    <n v="18.100000000000001"/>
    <n v="15"/>
    <n v="3.14"/>
    <x v="0"/>
  </r>
  <r>
    <x v="0"/>
    <s v="山武市"/>
    <x v="41"/>
    <x v="11"/>
    <n v="114"/>
    <n v="12.03"/>
    <n v="97"/>
    <n v="20.91"/>
    <n v="16"/>
    <n v="3.35"/>
    <x v="0"/>
  </r>
  <r>
    <x v="0"/>
    <s v="山武市"/>
    <x v="41"/>
    <x v="12"/>
    <n v="11"/>
    <n v="1.1599999999999999"/>
    <n v="5"/>
    <n v="1.08"/>
    <n v="6"/>
    <n v="1.26"/>
    <x v="0"/>
  </r>
  <r>
    <x v="0"/>
    <s v="山武市"/>
    <x v="41"/>
    <x v="13"/>
    <n v="42"/>
    <n v="4.43"/>
    <n v="25"/>
    <n v="5.39"/>
    <n v="14"/>
    <n v="2.94"/>
    <x v="0"/>
  </r>
  <r>
    <x v="0"/>
    <s v="山武市"/>
    <x v="41"/>
    <x v="14"/>
    <n v="51"/>
    <n v="5.38"/>
    <n v="26"/>
    <n v="5.6"/>
    <n v="24"/>
    <n v="5.03"/>
    <x v="0"/>
  </r>
  <r>
    <x v="0"/>
    <s v="いすみ市"/>
    <x v="42"/>
    <x v="0"/>
    <n v="0"/>
    <n v="0"/>
    <n v="0"/>
    <n v="0"/>
    <n v="0"/>
    <n v="0"/>
    <x v="0"/>
  </r>
  <r>
    <x v="0"/>
    <s v="いすみ市"/>
    <x v="42"/>
    <x v="1"/>
    <n v="187"/>
    <n v="19.940000000000001"/>
    <n v="82"/>
    <n v="14.88"/>
    <n v="105"/>
    <n v="27.63"/>
    <x v="0"/>
  </r>
  <r>
    <x v="0"/>
    <s v="いすみ市"/>
    <x v="42"/>
    <x v="2"/>
    <n v="76"/>
    <n v="8.1"/>
    <n v="29"/>
    <n v="5.26"/>
    <n v="47"/>
    <n v="12.37"/>
    <x v="0"/>
  </r>
  <r>
    <x v="0"/>
    <s v="いすみ市"/>
    <x v="42"/>
    <x v="3"/>
    <n v="4"/>
    <n v="0.43"/>
    <n v="0"/>
    <n v="0"/>
    <n v="3"/>
    <n v="0.79"/>
    <x v="0"/>
  </r>
  <r>
    <x v="0"/>
    <s v="いすみ市"/>
    <x v="42"/>
    <x v="4"/>
    <n v="8"/>
    <n v="0.85"/>
    <n v="0"/>
    <n v="0"/>
    <n v="8"/>
    <n v="2.11"/>
    <x v="0"/>
  </r>
  <r>
    <x v="0"/>
    <s v="いすみ市"/>
    <x v="42"/>
    <x v="5"/>
    <n v="9"/>
    <n v="0.96"/>
    <n v="2"/>
    <n v="0.36"/>
    <n v="6"/>
    <n v="1.58"/>
    <x v="0"/>
  </r>
  <r>
    <x v="0"/>
    <s v="いすみ市"/>
    <x v="42"/>
    <x v="6"/>
    <n v="239"/>
    <n v="25.48"/>
    <n v="128"/>
    <n v="23.23"/>
    <n v="111"/>
    <n v="29.21"/>
    <x v="0"/>
  </r>
  <r>
    <x v="0"/>
    <s v="いすみ市"/>
    <x v="42"/>
    <x v="7"/>
    <n v="5"/>
    <n v="0.53"/>
    <n v="3"/>
    <n v="0.54"/>
    <n v="2"/>
    <n v="0.53"/>
    <x v="0"/>
  </r>
  <r>
    <x v="0"/>
    <s v="いすみ市"/>
    <x v="42"/>
    <x v="8"/>
    <n v="56"/>
    <n v="5.97"/>
    <n v="26"/>
    <n v="4.72"/>
    <n v="30"/>
    <n v="7.89"/>
    <x v="0"/>
  </r>
  <r>
    <x v="0"/>
    <s v="いすみ市"/>
    <x v="42"/>
    <x v="9"/>
    <n v="25"/>
    <n v="2.67"/>
    <n v="13"/>
    <n v="2.36"/>
    <n v="12"/>
    <n v="3.16"/>
    <x v="0"/>
  </r>
  <r>
    <x v="0"/>
    <s v="いすみ市"/>
    <x v="42"/>
    <x v="10"/>
    <n v="107"/>
    <n v="11.41"/>
    <n v="95"/>
    <n v="17.239999999999998"/>
    <n v="11"/>
    <n v="2.89"/>
    <x v="0"/>
  </r>
  <r>
    <x v="0"/>
    <s v="いすみ市"/>
    <x v="42"/>
    <x v="11"/>
    <n v="145"/>
    <n v="15.46"/>
    <n v="126"/>
    <n v="22.87"/>
    <n v="19"/>
    <n v="5"/>
    <x v="0"/>
  </r>
  <r>
    <x v="0"/>
    <s v="いすみ市"/>
    <x v="42"/>
    <x v="12"/>
    <n v="19"/>
    <n v="2.0299999999999998"/>
    <n v="13"/>
    <n v="2.36"/>
    <n v="5"/>
    <n v="1.32"/>
    <x v="0"/>
  </r>
  <r>
    <x v="0"/>
    <s v="いすみ市"/>
    <x v="42"/>
    <x v="13"/>
    <n v="33"/>
    <n v="3.52"/>
    <n v="20"/>
    <n v="3.63"/>
    <n v="11"/>
    <n v="2.89"/>
    <x v="0"/>
  </r>
  <r>
    <x v="0"/>
    <s v="いすみ市"/>
    <x v="42"/>
    <x v="14"/>
    <n v="25"/>
    <n v="2.67"/>
    <n v="14"/>
    <n v="2.54"/>
    <n v="10"/>
    <n v="2.63"/>
    <x v="0"/>
  </r>
  <r>
    <x v="0"/>
    <s v="大網白里市"/>
    <x v="43"/>
    <x v="0"/>
    <n v="0"/>
    <n v="0"/>
    <n v="0"/>
    <n v="0"/>
    <n v="0"/>
    <n v="0"/>
    <x v="0"/>
  </r>
  <r>
    <x v="0"/>
    <s v="大網白里市"/>
    <x v="43"/>
    <x v="1"/>
    <n v="149"/>
    <n v="17.43"/>
    <n v="37"/>
    <n v="9.02"/>
    <n v="112"/>
    <n v="25.69"/>
    <x v="0"/>
  </r>
  <r>
    <x v="0"/>
    <s v="大網白里市"/>
    <x v="43"/>
    <x v="2"/>
    <n v="52"/>
    <n v="6.08"/>
    <n v="23"/>
    <n v="5.61"/>
    <n v="29"/>
    <n v="6.65"/>
    <x v="0"/>
  </r>
  <r>
    <x v="0"/>
    <s v="大網白里市"/>
    <x v="43"/>
    <x v="3"/>
    <n v="1"/>
    <n v="0.12"/>
    <n v="0"/>
    <n v="0"/>
    <n v="1"/>
    <n v="0.23"/>
    <x v="0"/>
  </r>
  <r>
    <x v="0"/>
    <s v="大網白里市"/>
    <x v="43"/>
    <x v="4"/>
    <n v="11"/>
    <n v="1.29"/>
    <n v="1"/>
    <n v="0.24"/>
    <n v="10"/>
    <n v="2.29"/>
    <x v="0"/>
  </r>
  <r>
    <x v="0"/>
    <s v="大網白里市"/>
    <x v="43"/>
    <x v="5"/>
    <n v="1"/>
    <n v="0.12"/>
    <n v="0"/>
    <n v="0"/>
    <n v="1"/>
    <n v="0.23"/>
    <x v="0"/>
  </r>
  <r>
    <x v="0"/>
    <s v="大網白里市"/>
    <x v="43"/>
    <x v="6"/>
    <n v="158"/>
    <n v="18.48"/>
    <n v="69"/>
    <n v="16.829999999999998"/>
    <n v="89"/>
    <n v="20.41"/>
    <x v="0"/>
  </r>
  <r>
    <x v="0"/>
    <s v="大網白里市"/>
    <x v="43"/>
    <x v="7"/>
    <n v="8"/>
    <n v="0.94"/>
    <n v="0"/>
    <n v="0"/>
    <n v="8"/>
    <n v="1.83"/>
    <x v="0"/>
  </r>
  <r>
    <x v="0"/>
    <s v="大網白里市"/>
    <x v="43"/>
    <x v="8"/>
    <n v="107"/>
    <n v="12.51"/>
    <n v="52"/>
    <n v="12.68"/>
    <n v="55"/>
    <n v="12.61"/>
    <x v="0"/>
  </r>
  <r>
    <x v="0"/>
    <s v="大網白里市"/>
    <x v="43"/>
    <x v="9"/>
    <n v="44"/>
    <n v="5.15"/>
    <n v="12"/>
    <n v="2.93"/>
    <n v="32"/>
    <n v="7.34"/>
    <x v="0"/>
  </r>
  <r>
    <x v="0"/>
    <s v="大網白里市"/>
    <x v="43"/>
    <x v="10"/>
    <n v="89"/>
    <n v="10.41"/>
    <n v="72"/>
    <n v="17.559999999999999"/>
    <n v="17"/>
    <n v="3.9"/>
    <x v="0"/>
  </r>
  <r>
    <x v="0"/>
    <s v="大網白里市"/>
    <x v="43"/>
    <x v="11"/>
    <n v="124"/>
    <n v="14.5"/>
    <n v="86"/>
    <n v="20.98"/>
    <n v="37"/>
    <n v="8.49"/>
    <x v="0"/>
  </r>
  <r>
    <x v="0"/>
    <s v="大網白里市"/>
    <x v="43"/>
    <x v="12"/>
    <n v="31"/>
    <n v="3.63"/>
    <n v="21"/>
    <n v="5.12"/>
    <n v="7"/>
    <n v="1.61"/>
    <x v="0"/>
  </r>
  <r>
    <x v="0"/>
    <s v="大網白里市"/>
    <x v="43"/>
    <x v="13"/>
    <n v="49"/>
    <n v="5.73"/>
    <n v="29"/>
    <n v="7.07"/>
    <n v="17"/>
    <n v="3.9"/>
    <x v="0"/>
  </r>
  <r>
    <x v="0"/>
    <s v="大網白里市"/>
    <x v="43"/>
    <x v="14"/>
    <n v="31"/>
    <n v="3.63"/>
    <n v="8"/>
    <n v="1.95"/>
    <n v="21"/>
    <n v="4.82"/>
    <x v="0"/>
  </r>
  <r>
    <x v="0"/>
    <s v="印旛郡酒々井町"/>
    <x v="44"/>
    <x v="0"/>
    <n v="0"/>
    <n v="0"/>
    <n v="0"/>
    <n v="0"/>
    <n v="0"/>
    <n v="0"/>
    <x v="0"/>
  </r>
  <r>
    <x v="0"/>
    <s v="印旛郡酒々井町"/>
    <x v="44"/>
    <x v="1"/>
    <n v="40"/>
    <n v="9.93"/>
    <n v="6"/>
    <n v="3.49"/>
    <n v="34"/>
    <n v="15.04"/>
    <x v="0"/>
  </r>
  <r>
    <x v="0"/>
    <s v="印旛郡酒々井町"/>
    <x v="44"/>
    <x v="2"/>
    <n v="14"/>
    <n v="3.47"/>
    <n v="2"/>
    <n v="1.1599999999999999"/>
    <n v="12"/>
    <n v="5.31"/>
    <x v="0"/>
  </r>
  <r>
    <x v="0"/>
    <s v="印旛郡酒々井町"/>
    <x v="44"/>
    <x v="3"/>
    <n v="1"/>
    <n v="0.25"/>
    <n v="0"/>
    <n v="0"/>
    <n v="1"/>
    <n v="0.44"/>
    <x v="0"/>
  </r>
  <r>
    <x v="0"/>
    <s v="印旛郡酒々井町"/>
    <x v="44"/>
    <x v="4"/>
    <n v="3"/>
    <n v="0.74"/>
    <n v="1"/>
    <n v="0.57999999999999996"/>
    <n v="2"/>
    <n v="0.88"/>
    <x v="0"/>
  </r>
  <r>
    <x v="0"/>
    <s v="印旛郡酒々井町"/>
    <x v="44"/>
    <x v="5"/>
    <n v="7"/>
    <n v="1.74"/>
    <n v="0"/>
    <n v="0"/>
    <n v="6"/>
    <n v="2.65"/>
    <x v="0"/>
  </r>
  <r>
    <x v="0"/>
    <s v="印旛郡酒々井町"/>
    <x v="44"/>
    <x v="6"/>
    <n v="132"/>
    <n v="32.75"/>
    <n v="30"/>
    <n v="17.440000000000001"/>
    <n v="102"/>
    <n v="45.13"/>
    <x v="0"/>
  </r>
  <r>
    <x v="0"/>
    <s v="印旛郡酒々井町"/>
    <x v="44"/>
    <x v="7"/>
    <n v="2"/>
    <n v="0.5"/>
    <n v="1"/>
    <n v="0.57999999999999996"/>
    <n v="1"/>
    <n v="0.44"/>
    <x v="0"/>
  </r>
  <r>
    <x v="0"/>
    <s v="印旛郡酒々井町"/>
    <x v="44"/>
    <x v="8"/>
    <n v="43"/>
    <n v="10.67"/>
    <n v="21"/>
    <n v="12.21"/>
    <n v="22"/>
    <n v="9.73"/>
    <x v="0"/>
  </r>
  <r>
    <x v="0"/>
    <s v="印旛郡酒々井町"/>
    <x v="44"/>
    <x v="9"/>
    <n v="20"/>
    <n v="4.96"/>
    <n v="8"/>
    <n v="4.6500000000000004"/>
    <n v="10"/>
    <n v="4.42"/>
    <x v="0"/>
  </r>
  <r>
    <x v="0"/>
    <s v="印旛郡酒々井町"/>
    <x v="44"/>
    <x v="10"/>
    <n v="43"/>
    <n v="10.67"/>
    <n v="34"/>
    <n v="19.77"/>
    <n v="8"/>
    <n v="3.54"/>
    <x v="0"/>
  </r>
  <r>
    <x v="0"/>
    <s v="印旛郡酒々井町"/>
    <x v="44"/>
    <x v="11"/>
    <n v="51"/>
    <n v="12.66"/>
    <n v="40"/>
    <n v="23.26"/>
    <n v="11"/>
    <n v="4.87"/>
    <x v="0"/>
  </r>
  <r>
    <x v="0"/>
    <s v="印旛郡酒々井町"/>
    <x v="44"/>
    <x v="12"/>
    <n v="12"/>
    <n v="2.98"/>
    <n v="12"/>
    <n v="6.98"/>
    <n v="0"/>
    <n v="0"/>
    <x v="0"/>
  </r>
  <r>
    <x v="0"/>
    <s v="印旛郡酒々井町"/>
    <x v="44"/>
    <x v="13"/>
    <n v="22"/>
    <n v="5.46"/>
    <n v="14"/>
    <n v="8.14"/>
    <n v="7"/>
    <n v="3.1"/>
    <x v="0"/>
  </r>
  <r>
    <x v="0"/>
    <s v="印旛郡酒々井町"/>
    <x v="44"/>
    <x v="14"/>
    <n v="13"/>
    <n v="3.23"/>
    <n v="3"/>
    <n v="1.74"/>
    <n v="10"/>
    <n v="4.42"/>
    <x v="0"/>
  </r>
  <r>
    <x v="0"/>
    <s v="印旛郡栄町"/>
    <x v="45"/>
    <x v="0"/>
    <n v="0"/>
    <n v="0"/>
    <n v="0"/>
    <n v="0"/>
    <n v="0"/>
    <n v="0"/>
    <x v="0"/>
  </r>
  <r>
    <x v="0"/>
    <s v="印旛郡栄町"/>
    <x v="45"/>
    <x v="1"/>
    <n v="55"/>
    <n v="19.71"/>
    <n v="19"/>
    <n v="14.39"/>
    <n v="36"/>
    <n v="24.83"/>
    <x v="0"/>
  </r>
  <r>
    <x v="0"/>
    <s v="印旛郡栄町"/>
    <x v="45"/>
    <x v="2"/>
    <n v="13"/>
    <n v="4.66"/>
    <n v="1"/>
    <n v="0.76"/>
    <n v="12"/>
    <n v="8.2799999999999994"/>
    <x v="0"/>
  </r>
  <r>
    <x v="0"/>
    <s v="印旛郡栄町"/>
    <x v="45"/>
    <x v="3"/>
    <n v="1"/>
    <n v="0.36"/>
    <n v="0"/>
    <n v="0"/>
    <n v="1"/>
    <n v="0.69"/>
    <x v="0"/>
  </r>
  <r>
    <x v="0"/>
    <s v="印旛郡栄町"/>
    <x v="45"/>
    <x v="4"/>
    <n v="1"/>
    <n v="0.36"/>
    <n v="0"/>
    <n v="0"/>
    <n v="1"/>
    <n v="0.69"/>
    <x v="0"/>
  </r>
  <r>
    <x v="0"/>
    <s v="印旛郡栄町"/>
    <x v="45"/>
    <x v="5"/>
    <n v="5"/>
    <n v="1.79"/>
    <n v="0"/>
    <n v="0"/>
    <n v="5"/>
    <n v="3.45"/>
    <x v="0"/>
  </r>
  <r>
    <x v="0"/>
    <s v="印旛郡栄町"/>
    <x v="45"/>
    <x v="6"/>
    <n v="68"/>
    <n v="24.37"/>
    <n v="28"/>
    <n v="21.21"/>
    <n v="40"/>
    <n v="27.59"/>
    <x v="0"/>
  </r>
  <r>
    <x v="0"/>
    <s v="印旛郡栄町"/>
    <x v="45"/>
    <x v="7"/>
    <n v="4"/>
    <n v="1.43"/>
    <n v="0"/>
    <n v="0"/>
    <n v="4"/>
    <n v="2.76"/>
    <x v="0"/>
  </r>
  <r>
    <x v="0"/>
    <s v="印旛郡栄町"/>
    <x v="45"/>
    <x v="8"/>
    <n v="13"/>
    <n v="4.66"/>
    <n v="4"/>
    <n v="3.03"/>
    <n v="9"/>
    <n v="6.21"/>
    <x v="0"/>
  </r>
  <r>
    <x v="0"/>
    <s v="印旛郡栄町"/>
    <x v="45"/>
    <x v="9"/>
    <n v="15"/>
    <n v="5.38"/>
    <n v="4"/>
    <n v="3.03"/>
    <n v="10"/>
    <n v="6.9"/>
    <x v="0"/>
  </r>
  <r>
    <x v="0"/>
    <s v="印旛郡栄町"/>
    <x v="45"/>
    <x v="10"/>
    <n v="20"/>
    <n v="7.17"/>
    <n v="19"/>
    <n v="14.39"/>
    <n v="0"/>
    <n v="0"/>
    <x v="0"/>
  </r>
  <r>
    <x v="0"/>
    <s v="印旛郡栄町"/>
    <x v="45"/>
    <x v="11"/>
    <n v="41"/>
    <n v="14.7"/>
    <n v="32"/>
    <n v="24.24"/>
    <n v="9"/>
    <n v="6.21"/>
    <x v="0"/>
  </r>
  <r>
    <x v="0"/>
    <s v="印旛郡栄町"/>
    <x v="45"/>
    <x v="12"/>
    <n v="7"/>
    <n v="2.5099999999999998"/>
    <n v="5"/>
    <n v="3.79"/>
    <n v="2"/>
    <n v="1.38"/>
    <x v="0"/>
  </r>
  <r>
    <x v="0"/>
    <s v="印旛郡栄町"/>
    <x v="45"/>
    <x v="13"/>
    <n v="20"/>
    <n v="7.17"/>
    <n v="14"/>
    <n v="10.61"/>
    <n v="6"/>
    <n v="4.1399999999999997"/>
    <x v="0"/>
  </r>
  <r>
    <x v="0"/>
    <s v="印旛郡栄町"/>
    <x v="45"/>
    <x v="14"/>
    <n v="16"/>
    <n v="5.73"/>
    <n v="6"/>
    <n v="4.55"/>
    <n v="10"/>
    <n v="6.9"/>
    <x v="0"/>
  </r>
  <r>
    <x v="0"/>
    <s v="香取郡神崎町"/>
    <x v="46"/>
    <x v="0"/>
    <n v="0"/>
    <n v="0"/>
    <n v="0"/>
    <n v="0"/>
    <n v="0"/>
    <n v="0"/>
    <x v="0"/>
  </r>
  <r>
    <x v="0"/>
    <s v="香取郡神崎町"/>
    <x v="46"/>
    <x v="1"/>
    <n v="21"/>
    <n v="16.8"/>
    <n v="12"/>
    <n v="14.29"/>
    <n v="9"/>
    <n v="21.95"/>
    <x v="0"/>
  </r>
  <r>
    <x v="0"/>
    <s v="香取郡神崎町"/>
    <x v="46"/>
    <x v="2"/>
    <n v="16"/>
    <n v="12.8"/>
    <n v="9"/>
    <n v="10.71"/>
    <n v="7"/>
    <n v="17.07"/>
    <x v="0"/>
  </r>
  <r>
    <x v="0"/>
    <s v="香取郡神崎町"/>
    <x v="46"/>
    <x v="3"/>
    <n v="0"/>
    <n v="0"/>
    <n v="0"/>
    <n v="0"/>
    <n v="0"/>
    <n v="0"/>
    <x v="0"/>
  </r>
  <r>
    <x v="0"/>
    <s v="香取郡神崎町"/>
    <x v="46"/>
    <x v="4"/>
    <n v="0"/>
    <n v="0"/>
    <n v="0"/>
    <n v="0"/>
    <n v="0"/>
    <n v="0"/>
    <x v="0"/>
  </r>
  <r>
    <x v="0"/>
    <s v="香取郡神崎町"/>
    <x v="46"/>
    <x v="5"/>
    <n v="1"/>
    <n v="0.8"/>
    <n v="0"/>
    <n v="0"/>
    <n v="1"/>
    <n v="2.44"/>
    <x v="0"/>
  </r>
  <r>
    <x v="0"/>
    <s v="香取郡神崎町"/>
    <x v="46"/>
    <x v="6"/>
    <n v="29"/>
    <n v="23.2"/>
    <n v="21"/>
    <n v="25"/>
    <n v="8"/>
    <n v="19.510000000000002"/>
    <x v="0"/>
  </r>
  <r>
    <x v="0"/>
    <s v="香取郡神崎町"/>
    <x v="46"/>
    <x v="7"/>
    <n v="1"/>
    <n v="0.8"/>
    <n v="1"/>
    <n v="1.19"/>
    <n v="0"/>
    <n v="0"/>
    <x v="0"/>
  </r>
  <r>
    <x v="0"/>
    <s v="香取郡神崎町"/>
    <x v="46"/>
    <x v="8"/>
    <n v="4"/>
    <n v="3.2"/>
    <n v="0"/>
    <n v="0"/>
    <n v="4"/>
    <n v="9.76"/>
    <x v="0"/>
  </r>
  <r>
    <x v="0"/>
    <s v="香取郡神崎町"/>
    <x v="46"/>
    <x v="9"/>
    <n v="1"/>
    <n v="0.8"/>
    <n v="0"/>
    <n v="0"/>
    <n v="1"/>
    <n v="2.44"/>
    <x v="0"/>
  </r>
  <r>
    <x v="0"/>
    <s v="香取郡神崎町"/>
    <x v="46"/>
    <x v="10"/>
    <n v="11"/>
    <n v="8.8000000000000007"/>
    <n v="10"/>
    <n v="11.9"/>
    <n v="1"/>
    <n v="2.44"/>
    <x v="0"/>
  </r>
  <r>
    <x v="0"/>
    <s v="香取郡神崎町"/>
    <x v="46"/>
    <x v="11"/>
    <n v="17"/>
    <n v="13.6"/>
    <n v="15"/>
    <n v="17.86"/>
    <n v="2"/>
    <n v="4.88"/>
    <x v="0"/>
  </r>
  <r>
    <x v="0"/>
    <s v="香取郡神崎町"/>
    <x v="46"/>
    <x v="12"/>
    <n v="8"/>
    <n v="6.4"/>
    <n v="6"/>
    <n v="7.14"/>
    <n v="2"/>
    <n v="4.88"/>
    <x v="0"/>
  </r>
  <r>
    <x v="0"/>
    <s v="香取郡神崎町"/>
    <x v="46"/>
    <x v="13"/>
    <n v="9"/>
    <n v="7.2"/>
    <n v="5"/>
    <n v="5.95"/>
    <n v="4"/>
    <n v="9.76"/>
    <x v="0"/>
  </r>
  <r>
    <x v="0"/>
    <s v="香取郡神崎町"/>
    <x v="46"/>
    <x v="14"/>
    <n v="7"/>
    <n v="5.6"/>
    <n v="5"/>
    <n v="5.95"/>
    <n v="2"/>
    <n v="4.88"/>
    <x v="0"/>
  </r>
  <r>
    <x v="0"/>
    <s v="香取郡多古町"/>
    <x v="47"/>
    <x v="0"/>
    <n v="2"/>
    <n v="0.47"/>
    <n v="1"/>
    <n v="0.38"/>
    <n v="1"/>
    <n v="0.63"/>
    <x v="0"/>
  </r>
  <r>
    <x v="0"/>
    <s v="香取郡多古町"/>
    <x v="47"/>
    <x v="1"/>
    <n v="98"/>
    <n v="23"/>
    <n v="59"/>
    <n v="22.26"/>
    <n v="39"/>
    <n v="24.68"/>
    <x v="0"/>
  </r>
  <r>
    <x v="0"/>
    <s v="香取郡多古町"/>
    <x v="47"/>
    <x v="2"/>
    <n v="26"/>
    <n v="6.1"/>
    <n v="7"/>
    <n v="2.64"/>
    <n v="19"/>
    <n v="12.03"/>
    <x v="0"/>
  </r>
  <r>
    <x v="0"/>
    <s v="香取郡多古町"/>
    <x v="47"/>
    <x v="3"/>
    <n v="6"/>
    <n v="1.41"/>
    <n v="0"/>
    <n v="0"/>
    <n v="4"/>
    <n v="2.5299999999999998"/>
    <x v="0"/>
  </r>
  <r>
    <x v="0"/>
    <s v="香取郡多古町"/>
    <x v="47"/>
    <x v="4"/>
    <n v="1"/>
    <n v="0.23"/>
    <n v="0"/>
    <n v="0"/>
    <n v="1"/>
    <n v="0.63"/>
    <x v="0"/>
  </r>
  <r>
    <x v="0"/>
    <s v="香取郡多古町"/>
    <x v="47"/>
    <x v="5"/>
    <n v="9"/>
    <n v="2.11"/>
    <n v="1"/>
    <n v="0.38"/>
    <n v="8"/>
    <n v="5.0599999999999996"/>
    <x v="0"/>
  </r>
  <r>
    <x v="0"/>
    <s v="香取郡多古町"/>
    <x v="47"/>
    <x v="6"/>
    <n v="106"/>
    <n v="24.88"/>
    <n v="64"/>
    <n v="24.15"/>
    <n v="42"/>
    <n v="26.58"/>
    <x v="0"/>
  </r>
  <r>
    <x v="0"/>
    <s v="香取郡多古町"/>
    <x v="47"/>
    <x v="7"/>
    <n v="4"/>
    <n v="0.94"/>
    <n v="0"/>
    <n v="0"/>
    <n v="4"/>
    <n v="2.5299999999999998"/>
    <x v="0"/>
  </r>
  <r>
    <x v="0"/>
    <s v="香取郡多古町"/>
    <x v="47"/>
    <x v="8"/>
    <n v="30"/>
    <n v="7.04"/>
    <n v="16"/>
    <n v="6.04"/>
    <n v="14"/>
    <n v="8.86"/>
    <x v="0"/>
  </r>
  <r>
    <x v="0"/>
    <s v="香取郡多古町"/>
    <x v="47"/>
    <x v="9"/>
    <n v="18"/>
    <n v="4.2300000000000004"/>
    <n v="13"/>
    <n v="4.91"/>
    <n v="5"/>
    <n v="3.16"/>
    <x v="0"/>
  </r>
  <r>
    <x v="0"/>
    <s v="香取郡多古町"/>
    <x v="47"/>
    <x v="10"/>
    <n v="35"/>
    <n v="8.2200000000000006"/>
    <n v="30"/>
    <n v="11.32"/>
    <n v="4"/>
    <n v="2.5299999999999998"/>
    <x v="0"/>
  </r>
  <r>
    <x v="0"/>
    <s v="香取郡多古町"/>
    <x v="47"/>
    <x v="11"/>
    <n v="53"/>
    <n v="12.44"/>
    <n v="46"/>
    <n v="17.36"/>
    <n v="7"/>
    <n v="4.43"/>
    <x v="0"/>
  </r>
  <r>
    <x v="0"/>
    <s v="香取郡多古町"/>
    <x v="47"/>
    <x v="12"/>
    <n v="6"/>
    <n v="1.41"/>
    <n v="5"/>
    <n v="1.89"/>
    <n v="1"/>
    <n v="0.63"/>
    <x v="0"/>
  </r>
  <r>
    <x v="0"/>
    <s v="香取郡多古町"/>
    <x v="47"/>
    <x v="13"/>
    <n v="13"/>
    <n v="3.05"/>
    <n v="11"/>
    <n v="4.1500000000000004"/>
    <n v="2"/>
    <n v="1.27"/>
    <x v="0"/>
  </r>
  <r>
    <x v="0"/>
    <s v="香取郡多古町"/>
    <x v="47"/>
    <x v="14"/>
    <n v="19"/>
    <n v="4.46"/>
    <n v="12"/>
    <n v="4.53"/>
    <n v="7"/>
    <n v="4.43"/>
    <x v="0"/>
  </r>
  <r>
    <x v="0"/>
    <s v="香取郡東庄町"/>
    <x v="48"/>
    <x v="0"/>
    <n v="0"/>
    <n v="0"/>
    <n v="0"/>
    <n v="0"/>
    <n v="0"/>
    <n v="0"/>
    <x v="0"/>
  </r>
  <r>
    <x v="0"/>
    <s v="香取郡東庄町"/>
    <x v="48"/>
    <x v="1"/>
    <n v="70"/>
    <n v="22.01"/>
    <n v="44"/>
    <n v="19.13"/>
    <n v="26"/>
    <n v="31.33"/>
    <x v="0"/>
  </r>
  <r>
    <x v="0"/>
    <s v="香取郡東庄町"/>
    <x v="48"/>
    <x v="2"/>
    <n v="43"/>
    <n v="13.52"/>
    <n v="32"/>
    <n v="13.91"/>
    <n v="11"/>
    <n v="13.25"/>
    <x v="0"/>
  </r>
  <r>
    <x v="0"/>
    <s v="香取郡東庄町"/>
    <x v="48"/>
    <x v="3"/>
    <n v="3"/>
    <n v="0.94"/>
    <n v="0"/>
    <n v="0"/>
    <n v="2"/>
    <n v="2.41"/>
    <x v="0"/>
  </r>
  <r>
    <x v="0"/>
    <s v="香取郡東庄町"/>
    <x v="48"/>
    <x v="4"/>
    <n v="0"/>
    <n v="0"/>
    <n v="0"/>
    <n v="0"/>
    <n v="0"/>
    <n v="0"/>
    <x v="0"/>
  </r>
  <r>
    <x v="0"/>
    <s v="香取郡東庄町"/>
    <x v="48"/>
    <x v="5"/>
    <n v="2"/>
    <n v="0.63"/>
    <n v="1"/>
    <n v="0.43"/>
    <n v="1"/>
    <n v="1.2"/>
    <x v="0"/>
  </r>
  <r>
    <x v="0"/>
    <s v="香取郡東庄町"/>
    <x v="48"/>
    <x v="6"/>
    <n v="75"/>
    <n v="23.58"/>
    <n v="55"/>
    <n v="23.91"/>
    <n v="20"/>
    <n v="24.1"/>
    <x v="0"/>
  </r>
  <r>
    <x v="0"/>
    <s v="香取郡東庄町"/>
    <x v="48"/>
    <x v="7"/>
    <n v="1"/>
    <n v="0.31"/>
    <n v="0"/>
    <n v="0"/>
    <n v="1"/>
    <n v="1.2"/>
    <x v="0"/>
  </r>
  <r>
    <x v="0"/>
    <s v="香取郡東庄町"/>
    <x v="48"/>
    <x v="8"/>
    <n v="4"/>
    <n v="1.26"/>
    <n v="2"/>
    <n v="0.87"/>
    <n v="2"/>
    <n v="2.41"/>
    <x v="0"/>
  </r>
  <r>
    <x v="0"/>
    <s v="香取郡東庄町"/>
    <x v="48"/>
    <x v="9"/>
    <n v="4"/>
    <n v="1.26"/>
    <n v="1"/>
    <n v="0.43"/>
    <n v="3"/>
    <n v="3.61"/>
    <x v="0"/>
  </r>
  <r>
    <x v="0"/>
    <s v="香取郡東庄町"/>
    <x v="48"/>
    <x v="10"/>
    <n v="30"/>
    <n v="9.43"/>
    <n v="26"/>
    <n v="11.3"/>
    <n v="3"/>
    <n v="3.61"/>
    <x v="0"/>
  </r>
  <r>
    <x v="0"/>
    <s v="香取郡東庄町"/>
    <x v="48"/>
    <x v="11"/>
    <n v="48"/>
    <n v="15.09"/>
    <n v="42"/>
    <n v="18.260000000000002"/>
    <n v="6"/>
    <n v="7.23"/>
    <x v="0"/>
  </r>
  <r>
    <x v="0"/>
    <s v="香取郡東庄町"/>
    <x v="48"/>
    <x v="12"/>
    <n v="9"/>
    <n v="2.83"/>
    <n v="6"/>
    <n v="2.61"/>
    <n v="2"/>
    <n v="2.41"/>
    <x v="0"/>
  </r>
  <r>
    <x v="0"/>
    <s v="香取郡東庄町"/>
    <x v="48"/>
    <x v="13"/>
    <n v="16"/>
    <n v="5.03"/>
    <n v="10"/>
    <n v="4.3499999999999996"/>
    <n v="4"/>
    <n v="4.82"/>
    <x v="0"/>
  </r>
  <r>
    <x v="0"/>
    <s v="香取郡東庄町"/>
    <x v="48"/>
    <x v="14"/>
    <n v="13"/>
    <n v="4.09"/>
    <n v="11"/>
    <n v="4.78"/>
    <n v="2"/>
    <n v="2.41"/>
    <x v="0"/>
  </r>
  <r>
    <x v="0"/>
    <s v="山武郡九十九里町"/>
    <x v="49"/>
    <x v="0"/>
    <n v="0"/>
    <n v="0"/>
    <n v="0"/>
    <n v="0"/>
    <n v="0"/>
    <n v="0"/>
    <x v="0"/>
  </r>
  <r>
    <x v="0"/>
    <s v="山武郡九十九里町"/>
    <x v="49"/>
    <x v="1"/>
    <n v="87"/>
    <n v="20.14"/>
    <n v="37"/>
    <n v="15.04"/>
    <n v="50"/>
    <n v="27.47"/>
    <x v="0"/>
  </r>
  <r>
    <x v="0"/>
    <s v="山武郡九十九里町"/>
    <x v="49"/>
    <x v="2"/>
    <n v="68"/>
    <n v="15.74"/>
    <n v="32"/>
    <n v="13.01"/>
    <n v="36"/>
    <n v="19.78"/>
    <x v="0"/>
  </r>
  <r>
    <x v="0"/>
    <s v="山武郡九十九里町"/>
    <x v="49"/>
    <x v="3"/>
    <n v="1"/>
    <n v="0.23"/>
    <n v="0"/>
    <n v="0"/>
    <n v="1"/>
    <n v="0.55000000000000004"/>
    <x v="0"/>
  </r>
  <r>
    <x v="0"/>
    <s v="山武郡九十九里町"/>
    <x v="49"/>
    <x v="4"/>
    <n v="2"/>
    <n v="0.46"/>
    <n v="0"/>
    <n v="0"/>
    <n v="2"/>
    <n v="1.1000000000000001"/>
    <x v="0"/>
  </r>
  <r>
    <x v="0"/>
    <s v="山武郡九十九里町"/>
    <x v="49"/>
    <x v="5"/>
    <n v="0"/>
    <n v="0"/>
    <n v="0"/>
    <n v="0"/>
    <n v="0"/>
    <n v="0"/>
    <x v="0"/>
  </r>
  <r>
    <x v="0"/>
    <s v="山武郡九十九里町"/>
    <x v="49"/>
    <x v="6"/>
    <n v="85"/>
    <n v="19.68"/>
    <n v="49"/>
    <n v="19.920000000000002"/>
    <n v="36"/>
    <n v="19.78"/>
    <x v="0"/>
  </r>
  <r>
    <x v="0"/>
    <s v="山武郡九十九里町"/>
    <x v="49"/>
    <x v="7"/>
    <n v="1"/>
    <n v="0.23"/>
    <n v="0"/>
    <n v="0"/>
    <n v="1"/>
    <n v="0.55000000000000004"/>
    <x v="0"/>
  </r>
  <r>
    <x v="0"/>
    <s v="山武郡九十九里町"/>
    <x v="49"/>
    <x v="8"/>
    <n v="12"/>
    <n v="2.78"/>
    <n v="2"/>
    <n v="0.81"/>
    <n v="10"/>
    <n v="5.49"/>
    <x v="0"/>
  </r>
  <r>
    <x v="0"/>
    <s v="山武郡九十九里町"/>
    <x v="49"/>
    <x v="9"/>
    <n v="10"/>
    <n v="2.31"/>
    <n v="4"/>
    <n v="1.63"/>
    <n v="6"/>
    <n v="3.3"/>
    <x v="0"/>
  </r>
  <r>
    <x v="0"/>
    <s v="山武郡九十九里町"/>
    <x v="49"/>
    <x v="10"/>
    <n v="62"/>
    <n v="14.35"/>
    <n v="45"/>
    <n v="18.29"/>
    <n v="16"/>
    <n v="8.7899999999999991"/>
    <x v="0"/>
  </r>
  <r>
    <x v="0"/>
    <s v="山武郡九十九里町"/>
    <x v="49"/>
    <x v="11"/>
    <n v="60"/>
    <n v="13.89"/>
    <n v="52"/>
    <n v="21.14"/>
    <n v="8"/>
    <n v="4.4000000000000004"/>
    <x v="0"/>
  </r>
  <r>
    <x v="0"/>
    <s v="山武郡九十九里町"/>
    <x v="49"/>
    <x v="12"/>
    <n v="5"/>
    <n v="1.1599999999999999"/>
    <n v="4"/>
    <n v="1.63"/>
    <n v="0"/>
    <n v="0"/>
    <x v="0"/>
  </r>
  <r>
    <x v="0"/>
    <s v="山武郡九十九里町"/>
    <x v="49"/>
    <x v="13"/>
    <n v="17"/>
    <n v="3.94"/>
    <n v="12"/>
    <n v="4.88"/>
    <n v="3"/>
    <n v="1.65"/>
    <x v="0"/>
  </r>
  <r>
    <x v="0"/>
    <s v="山武郡九十九里町"/>
    <x v="49"/>
    <x v="14"/>
    <n v="22"/>
    <n v="5.09"/>
    <n v="9"/>
    <n v="3.66"/>
    <n v="13"/>
    <n v="7.14"/>
    <x v="0"/>
  </r>
  <r>
    <x v="0"/>
    <s v="山武郡芝山町"/>
    <x v="50"/>
    <x v="0"/>
    <n v="0"/>
    <n v="0"/>
    <n v="0"/>
    <n v="0"/>
    <n v="0"/>
    <n v="0"/>
    <x v="0"/>
  </r>
  <r>
    <x v="0"/>
    <s v="山武郡芝山町"/>
    <x v="50"/>
    <x v="1"/>
    <n v="34"/>
    <n v="16.5"/>
    <n v="13"/>
    <n v="19.7"/>
    <n v="21"/>
    <n v="15.22"/>
    <x v="0"/>
  </r>
  <r>
    <x v="0"/>
    <s v="山武郡芝山町"/>
    <x v="50"/>
    <x v="2"/>
    <n v="29"/>
    <n v="14.08"/>
    <n v="6"/>
    <n v="9.09"/>
    <n v="23"/>
    <n v="16.670000000000002"/>
    <x v="0"/>
  </r>
  <r>
    <x v="0"/>
    <s v="山武郡芝山町"/>
    <x v="50"/>
    <x v="3"/>
    <n v="2"/>
    <n v="0.97"/>
    <n v="0"/>
    <n v="0"/>
    <n v="2"/>
    <n v="1.45"/>
    <x v="0"/>
  </r>
  <r>
    <x v="0"/>
    <s v="山武郡芝山町"/>
    <x v="50"/>
    <x v="4"/>
    <n v="1"/>
    <n v="0.49"/>
    <n v="0"/>
    <n v="0"/>
    <n v="1"/>
    <n v="0.72"/>
    <x v="0"/>
  </r>
  <r>
    <x v="0"/>
    <s v="山武郡芝山町"/>
    <x v="50"/>
    <x v="5"/>
    <n v="23"/>
    <n v="11.17"/>
    <n v="0"/>
    <n v="0"/>
    <n v="23"/>
    <n v="16.670000000000002"/>
    <x v="0"/>
  </r>
  <r>
    <x v="0"/>
    <s v="山武郡芝山町"/>
    <x v="50"/>
    <x v="6"/>
    <n v="42"/>
    <n v="20.39"/>
    <n v="10"/>
    <n v="15.15"/>
    <n v="32"/>
    <n v="23.19"/>
    <x v="0"/>
  </r>
  <r>
    <x v="0"/>
    <s v="山武郡芝山町"/>
    <x v="50"/>
    <x v="7"/>
    <n v="1"/>
    <n v="0.49"/>
    <n v="0"/>
    <n v="0"/>
    <n v="1"/>
    <n v="0.72"/>
    <x v="0"/>
  </r>
  <r>
    <x v="0"/>
    <s v="山武郡芝山町"/>
    <x v="50"/>
    <x v="8"/>
    <n v="12"/>
    <n v="5.83"/>
    <n v="0"/>
    <n v="0"/>
    <n v="12"/>
    <n v="8.6999999999999993"/>
    <x v="0"/>
  </r>
  <r>
    <x v="0"/>
    <s v="山武郡芝山町"/>
    <x v="50"/>
    <x v="9"/>
    <n v="6"/>
    <n v="2.91"/>
    <n v="2"/>
    <n v="3.03"/>
    <n v="4"/>
    <n v="2.9"/>
    <x v="0"/>
  </r>
  <r>
    <x v="0"/>
    <s v="山武郡芝山町"/>
    <x v="50"/>
    <x v="10"/>
    <n v="15"/>
    <n v="7.28"/>
    <n v="10"/>
    <n v="15.15"/>
    <n v="4"/>
    <n v="2.9"/>
    <x v="0"/>
  </r>
  <r>
    <x v="0"/>
    <s v="山武郡芝山町"/>
    <x v="50"/>
    <x v="11"/>
    <n v="17"/>
    <n v="8.25"/>
    <n v="13"/>
    <n v="19.7"/>
    <n v="4"/>
    <n v="2.9"/>
    <x v="0"/>
  </r>
  <r>
    <x v="0"/>
    <s v="山武郡芝山町"/>
    <x v="50"/>
    <x v="12"/>
    <n v="4"/>
    <n v="1.94"/>
    <n v="3"/>
    <n v="4.55"/>
    <n v="0"/>
    <n v="0"/>
    <x v="0"/>
  </r>
  <r>
    <x v="0"/>
    <s v="山武郡芝山町"/>
    <x v="50"/>
    <x v="13"/>
    <n v="4"/>
    <n v="1.94"/>
    <n v="3"/>
    <n v="4.55"/>
    <n v="1"/>
    <n v="0.72"/>
    <x v="0"/>
  </r>
  <r>
    <x v="0"/>
    <s v="山武郡芝山町"/>
    <x v="50"/>
    <x v="14"/>
    <n v="16"/>
    <n v="7.77"/>
    <n v="6"/>
    <n v="9.09"/>
    <n v="10"/>
    <n v="7.25"/>
    <x v="0"/>
  </r>
  <r>
    <x v="0"/>
    <s v="山武郡横芝光町"/>
    <x v="51"/>
    <x v="0"/>
    <n v="1"/>
    <n v="0.19"/>
    <n v="0"/>
    <n v="0"/>
    <n v="1"/>
    <n v="0.46"/>
    <x v="0"/>
  </r>
  <r>
    <x v="0"/>
    <s v="山武郡横芝光町"/>
    <x v="51"/>
    <x v="1"/>
    <n v="131"/>
    <n v="24.76"/>
    <n v="64"/>
    <n v="20.92"/>
    <n v="67"/>
    <n v="30.59"/>
    <x v="0"/>
  </r>
  <r>
    <x v="0"/>
    <s v="山武郡横芝光町"/>
    <x v="51"/>
    <x v="2"/>
    <n v="42"/>
    <n v="7.94"/>
    <n v="19"/>
    <n v="6.21"/>
    <n v="23"/>
    <n v="10.5"/>
    <x v="0"/>
  </r>
  <r>
    <x v="0"/>
    <s v="山武郡横芝光町"/>
    <x v="51"/>
    <x v="3"/>
    <n v="2"/>
    <n v="0.38"/>
    <n v="0"/>
    <n v="0"/>
    <n v="2"/>
    <n v="0.91"/>
    <x v="0"/>
  </r>
  <r>
    <x v="0"/>
    <s v="山武郡横芝光町"/>
    <x v="51"/>
    <x v="4"/>
    <n v="1"/>
    <n v="0.19"/>
    <n v="0"/>
    <n v="0"/>
    <n v="1"/>
    <n v="0.46"/>
    <x v="0"/>
  </r>
  <r>
    <x v="0"/>
    <s v="山武郡横芝光町"/>
    <x v="51"/>
    <x v="5"/>
    <n v="11"/>
    <n v="2.08"/>
    <n v="2"/>
    <n v="0.65"/>
    <n v="9"/>
    <n v="4.1100000000000003"/>
    <x v="0"/>
  </r>
  <r>
    <x v="0"/>
    <s v="山武郡横芝光町"/>
    <x v="51"/>
    <x v="6"/>
    <n v="119"/>
    <n v="22.5"/>
    <n v="53"/>
    <n v="17.32"/>
    <n v="66"/>
    <n v="30.14"/>
    <x v="0"/>
  </r>
  <r>
    <x v="0"/>
    <s v="山武郡横芝光町"/>
    <x v="51"/>
    <x v="7"/>
    <n v="7"/>
    <n v="1.32"/>
    <n v="3"/>
    <n v="0.98"/>
    <n v="4"/>
    <n v="1.83"/>
    <x v="0"/>
  </r>
  <r>
    <x v="0"/>
    <s v="山武郡横芝光町"/>
    <x v="51"/>
    <x v="8"/>
    <n v="31"/>
    <n v="5.86"/>
    <n v="14"/>
    <n v="4.58"/>
    <n v="17"/>
    <n v="7.76"/>
    <x v="0"/>
  </r>
  <r>
    <x v="0"/>
    <s v="山武郡横芝光町"/>
    <x v="51"/>
    <x v="9"/>
    <n v="14"/>
    <n v="2.65"/>
    <n v="12"/>
    <n v="3.92"/>
    <n v="2"/>
    <n v="0.91"/>
    <x v="0"/>
  </r>
  <r>
    <x v="0"/>
    <s v="山武郡横芝光町"/>
    <x v="51"/>
    <x v="10"/>
    <n v="55"/>
    <n v="10.4"/>
    <n v="45"/>
    <n v="14.71"/>
    <n v="8"/>
    <n v="3.65"/>
    <x v="1"/>
  </r>
  <r>
    <x v="0"/>
    <s v="山武郡横芝光町"/>
    <x v="51"/>
    <x v="11"/>
    <n v="69"/>
    <n v="13.04"/>
    <n v="63"/>
    <n v="20.59"/>
    <n v="6"/>
    <n v="2.74"/>
    <x v="0"/>
  </r>
  <r>
    <x v="0"/>
    <s v="山武郡横芝光町"/>
    <x v="51"/>
    <x v="12"/>
    <n v="10"/>
    <n v="1.89"/>
    <n v="8"/>
    <n v="2.61"/>
    <n v="2"/>
    <n v="0.91"/>
    <x v="0"/>
  </r>
  <r>
    <x v="0"/>
    <s v="山武郡横芝光町"/>
    <x v="51"/>
    <x v="13"/>
    <n v="13"/>
    <n v="2.46"/>
    <n v="10"/>
    <n v="3.27"/>
    <n v="2"/>
    <n v="0.91"/>
    <x v="0"/>
  </r>
  <r>
    <x v="0"/>
    <s v="山武郡横芝光町"/>
    <x v="51"/>
    <x v="14"/>
    <n v="23"/>
    <n v="4.3499999999999996"/>
    <n v="13"/>
    <n v="4.25"/>
    <n v="9"/>
    <n v="4.1100000000000003"/>
    <x v="0"/>
  </r>
  <r>
    <x v="0"/>
    <s v="長生郡一宮町"/>
    <x v="52"/>
    <x v="0"/>
    <n v="0"/>
    <n v="0"/>
    <n v="0"/>
    <n v="0"/>
    <n v="0"/>
    <n v="0"/>
    <x v="0"/>
  </r>
  <r>
    <x v="0"/>
    <s v="長生郡一宮町"/>
    <x v="52"/>
    <x v="1"/>
    <n v="42"/>
    <n v="12.21"/>
    <n v="12"/>
    <n v="5.66"/>
    <n v="30"/>
    <n v="23.08"/>
    <x v="0"/>
  </r>
  <r>
    <x v="0"/>
    <s v="長生郡一宮町"/>
    <x v="52"/>
    <x v="2"/>
    <n v="11"/>
    <n v="3.2"/>
    <n v="4"/>
    <n v="1.89"/>
    <n v="7"/>
    <n v="5.38"/>
    <x v="0"/>
  </r>
  <r>
    <x v="0"/>
    <s v="長生郡一宮町"/>
    <x v="52"/>
    <x v="3"/>
    <n v="0"/>
    <n v="0"/>
    <n v="0"/>
    <n v="0"/>
    <n v="0"/>
    <n v="0"/>
    <x v="0"/>
  </r>
  <r>
    <x v="0"/>
    <s v="長生郡一宮町"/>
    <x v="52"/>
    <x v="4"/>
    <n v="3"/>
    <n v="0.87"/>
    <n v="0"/>
    <n v="0"/>
    <n v="3"/>
    <n v="2.31"/>
    <x v="0"/>
  </r>
  <r>
    <x v="0"/>
    <s v="長生郡一宮町"/>
    <x v="52"/>
    <x v="5"/>
    <n v="3"/>
    <n v="0.87"/>
    <n v="1"/>
    <n v="0.47"/>
    <n v="2"/>
    <n v="1.54"/>
    <x v="0"/>
  </r>
  <r>
    <x v="0"/>
    <s v="長生郡一宮町"/>
    <x v="52"/>
    <x v="6"/>
    <n v="89"/>
    <n v="25.87"/>
    <n v="49"/>
    <n v="23.11"/>
    <n v="40"/>
    <n v="30.77"/>
    <x v="0"/>
  </r>
  <r>
    <x v="0"/>
    <s v="長生郡一宮町"/>
    <x v="52"/>
    <x v="7"/>
    <n v="1"/>
    <n v="0.28999999999999998"/>
    <n v="0"/>
    <n v="0"/>
    <n v="1"/>
    <n v="0.77"/>
    <x v="0"/>
  </r>
  <r>
    <x v="0"/>
    <s v="長生郡一宮町"/>
    <x v="52"/>
    <x v="8"/>
    <n v="16"/>
    <n v="4.6500000000000004"/>
    <n v="5"/>
    <n v="2.36"/>
    <n v="11"/>
    <n v="8.4600000000000009"/>
    <x v="0"/>
  </r>
  <r>
    <x v="0"/>
    <s v="長生郡一宮町"/>
    <x v="52"/>
    <x v="9"/>
    <n v="14"/>
    <n v="4.07"/>
    <n v="11"/>
    <n v="5.19"/>
    <n v="3"/>
    <n v="2.31"/>
    <x v="0"/>
  </r>
  <r>
    <x v="0"/>
    <s v="長生郡一宮町"/>
    <x v="52"/>
    <x v="10"/>
    <n v="59"/>
    <n v="17.149999999999999"/>
    <n v="52"/>
    <n v="24.53"/>
    <n v="7"/>
    <n v="5.38"/>
    <x v="0"/>
  </r>
  <r>
    <x v="0"/>
    <s v="長生郡一宮町"/>
    <x v="52"/>
    <x v="11"/>
    <n v="57"/>
    <n v="16.57"/>
    <n v="52"/>
    <n v="24.53"/>
    <n v="4"/>
    <n v="3.08"/>
    <x v="0"/>
  </r>
  <r>
    <x v="0"/>
    <s v="長生郡一宮町"/>
    <x v="52"/>
    <x v="12"/>
    <n v="9"/>
    <n v="2.62"/>
    <n v="6"/>
    <n v="2.83"/>
    <n v="2"/>
    <n v="1.54"/>
    <x v="0"/>
  </r>
  <r>
    <x v="0"/>
    <s v="長生郡一宮町"/>
    <x v="52"/>
    <x v="13"/>
    <n v="23"/>
    <n v="6.69"/>
    <n v="11"/>
    <n v="5.19"/>
    <n v="12"/>
    <n v="9.23"/>
    <x v="0"/>
  </r>
  <r>
    <x v="0"/>
    <s v="長生郡一宮町"/>
    <x v="52"/>
    <x v="14"/>
    <n v="17"/>
    <n v="4.9400000000000004"/>
    <n v="9"/>
    <n v="4.25"/>
    <n v="8"/>
    <n v="6.15"/>
    <x v="0"/>
  </r>
  <r>
    <x v="0"/>
    <s v="長生郡睦沢町"/>
    <x v="53"/>
    <x v="0"/>
    <n v="0"/>
    <n v="0"/>
    <n v="0"/>
    <n v="0"/>
    <n v="0"/>
    <n v="0"/>
    <x v="0"/>
  </r>
  <r>
    <x v="0"/>
    <s v="長生郡睦沢町"/>
    <x v="53"/>
    <x v="1"/>
    <n v="38"/>
    <n v="28.79"/>
    <n v="17"/>
    <n v="21.79"/>
    <n v="21"/>
    <n v="41.18"/>
    <x v="0"/>
  </r>
  <r>
    <x v="0"/>
    <s v="長生郡睦沢町"/>
    <x v="53"/>
    <x v="2"/>
    <n v="12"/>
    <n v="9.09"/>
    <n v="6"/>
    <n v="7.69"/>
    <n v="6"/>
    <n v="11.76"/>
    <x v="0"/>
  </r>
  <r>
    <x v="0"/>
    <s v="長生郡睦沢町"/>
    <x v="53"/>
    <x v="3"/>
    <n v="1"/>
    <n v="0.76"/>
    <n v="0"/>
    <n v="0"/>
    <n v="0"/>
    <n v="0"/>
    <x v="0"/>
  </r>
  <r>
    <x v="0"/>
    <s v="長生郡睦沢町"/>
    <x v="53"/>
    <x v="4"/>
    <n v="0"/>
    <n v="0"/>
    <n v="0"/>
    <n v="0"/>
    <n v="0"/>
    <n v="0"/>
    <x v="0"/>
  </r>
  <r>
    <x v="0"/>
    <s v="長生郡睦沢町"/>
    <x v="53"/>
    <x v="5"/>
    <n v="2"/>
    <n v="1.52"/>
    <n v="0"/>
    <n v="0"/>
    <n v="1"/>
    <n v="1.96"/>
    <x v="1"/>
  </r>
  <r>
    <x v="0"/>
    <s v="長生郡睦沢町"/>
    <x v="53"/>
    <x v="6"/>
    <n v="30"/>
    <n v="22.73"/>
    <n v="20"/>
    <n v="25.64"/>
    <n v="10"/>
    <n v="19.61"/>
    <x v="0"/>
  </r>
  <r>
    <x v="0"/>
    <s v="長生郡睦沢町"/>
    <x v="53"/>
    <x v="7"/>
    <n v="1"/>
    <n v="0.76"/>
    <n v="0"/>
    <n v="0"/>
    <n v="1"/>
    <n v="1.96"/>
    <x v="0"/>
  </r>
  <r>
    <x v="0"/>
    <s v="長生郡睦沢町"/>
    <x v="53"/>
    <x v="8"/>
    <n v="2"/>
    <n v="1.52"/>
    <n v="0"/>
    <n v="0"/>
    <n v="2"/>
    <n v="3.92"/>
    <x v="0"/>
  </r>
  <r>
    <x v="0"/>
    <s v="長生郡睦沢町"/>
    <x v="53"/>
    <x v="9"/>
    <n v="3"/>
    <n v="2.27"/>
    <n v="0"/>
    <n v="0"/>
    <n v="3"/>
    <n v="5.88"/>
    <x v="0"/>
  </r>
  <r>
    <x v="0"/>
    <s v="長生郡睦沢町"/>
    <x v="53"/>
    <x v="10"/>
    <n v="11"/>
    <n v="8.33"/>
    <n v="11"/>
    <n v="14.1"/>
    <n v="0"/>
    <n v="0"/>
    <x v="0"/>
  </r>
  <r>
    <x v="0"/>
    <s v="長生郡睦沢町"/>
    <x v="53"/>
    <x v="11"/>
    <n v="20"/>
    <n v="15.15"/>
    <n v="17"/>
    <n v="21.79"/>
    <n v="3"/>
    <n v="5.88"/>
    <x v="0"/>
  </r>
  <r>
    <x v="0"/>
    <s v="長生郡睦沢町"/>
    <x v="53"/>
    <x v="12"/>
    <n v="5"/>
    <n v="3.79"/>
    <n v="2"/>
    <n v="2.56"/>
    <n v="2"/>
    <n v="3.92"/>
    <x v="0"/>
  </r>
  <r>
    <x v="0"/>
    <s v="長生郡睦沢町"/>
    <x v="53"/>
    <x v="13"/>
    <n v="1"/>
    <n v="0.76"/>
    <n v="0"/>
    <n v="0"/>
    <n v="1"/>
    <n v="1.96"/>
    <x v="0"/>
  </r>
  <r>
    <x v="0"/>
    <s v="長生郡睦沢町"/>
    <x v="53"/>
    <x v="14"/>
    <n v="6"/>
    <n v="4.55"/>
    <n v="5"/>
    <n v="6.41"/>
    <n v="1"/>
    <n v="1.96"/>
    <x v="0"/>
  </r>
  <r>
    <x v="0"/>
    <s v="長生郡長生村"/>
    <x v="54"/>
    <x v="0"/>
    <n v="0"/>
    <n v="0"/>
    <n v="0"/>
    <n v="0"/>
    <n v="0"/>
    <n v="0"/>
    <x v="0"/>
  </r>
  <r>
    <x v="0"/>
    <s v="長生郡長生村"/>
    <x v="54"/>
    <x v="1"/>
    <n v="60"/>
    <n v="25.64"/>
    <n v="21"/>
    <n v="16.03"/>
    <n v="39"/>
    <n v="38.24"/>
    <x v="0"/>
  </r>
  <r>
    <x v="0"/>
    <s v="長生郡長生村"/>
    <x v="54"/>
    <x v="2"/>
    <n v="13"/>
    <n v="5.56"/>
    <n v="2"/>
    <n v="1.53"/>
    <n v="11"/>
    <n v="10.78"/>
    <x v="0"/>
  </r>
  <r>
    <x v="0"/>
    <s v="長生郡長生村"/>
    <x v="54"/>
    <x v="3"/>
    <n v="2"/>
    <n v="0.85"/>
    <n v="0"/>
    <n v="0"/>
    <n v="2"/>
    <n v="1.96"/>
    <x v="0"/>
  </r>
  <r>
    <x v="0"/>
    <s v="長生郡長生村"/>
    <x v="54"/>
    <x v="4"/>
    <n v="0"/>
    <n v="0"/>
    <n v="0"/>
    <n v="0"/>
    <n v="0"/>
    <n v="0"/>
    <x v="0"/>
  </r>
  <r>
    <x v="0"/>
    <s v="長生郡長生村"/>
    <x v="54"/>
    <x v="5"/>
    <n v="2"/>
    <n v="0.85"/>
    <n v="1"/>
    <n v="0.76"/>
    <n v="1"/>
    <n v="0.98"/>
    <x v="0"/>
  </r>
  <r>
    <x v="0"/>
    <s v="長生郡長生村"/>
    <x v="54"/>
    <x v="6"/>
    <n v="39"/>
    <n v="16.670000000000002"/>
    <n v="22"/>
    <n v="16.79"/>
    <n v="16"/>
    <n v="15.69"/>
    <x v="1"/>
  </r>
  <r>
    <x v="0"/>
    <s v="長生郡長生村"/>
    <x v="54"/>
    <x v="7"/>
    <n v="0"/>
    <n v="0"/>
    <n v="0"/>
    <n v="0"/>
    <n v="0"/>
    <n v="0"/>
    <x v="0"/>
  </r>
  <r>
    <x v="0"/>
    <s v="長生郡長生村"/>
    <x v="54"/>
    <x v="8"/>
    <n v="11"/>
    <n v="4.7"/>
    <n v="2"/>
    <n v="1.53"/>
    <n v="9"/>
    <n v="8.82"/>
    <x v="0"/>
  </r>
  <r>
    <x v="0"/>
    <s v="長生郡長生村"/>
    <x v="54"/>
    <x v="9"/>
    <n v="6"/>
    <n v="2.56"/>
    <n v="3"/>
    <n v="2.29"/>
    <n v="3"/>
    <n v="2.94"/>
    <x v="0"/>
  </r>
  <r>
    <x v="0"/>
    <s v="長生郡長生村"/>
    <x v="54"/>
    <x v="10"/>
    <n v="34"/>
    <n v="14.53"/>
    <n v="28"/>
    <n v="21.37"/>
    <n v="6"/>
    <n v="5.88"/>
    <x v="0"/>
  </r>
  <r>
    <x v="0"/>
    <s v="長生郡長生村"/>
    <x v="54"/>
    <x v="11"/>
    <n v="28"/>
    <n v="11.97"/>
    <n v="23"/>
    <n v="17.559999999999999"/>
    <n v="5"/>
    <n v="4.9000000000000004"/>
    <x v="0"/>
  </r>
  <r>
    <x v="0"/>
    <s v="長生郡長生村"/>
    <x v="54"/>
    <x v="12"/>
    <n v="9"/>
    <n v="3.85"/>
    <n v="7"/>
    <n v="5.34"/>
    <n v="2"/>
    <n v="1.96"/>
    <x v="0"/>
  </r>
  <r>
    <x v="0"/>
    <s v="長生郡長生村"/>
    <x v="54"/>
    <x v="13"/>
    <n v="10"/>
    <n v="4.2699999999999996"/>
    <n v="6"/>
    <n v="4.58"/>
    <n v="4"/>
    <n v="3.92"/>
    <x v="0"/>
  </r>
  <r>
    <x v="0"/>
    <s v="長生郡長生村"/>
    <x v="54"/>
    <x v="14"/>
    <n v="20"/>
    <n v="8.5500000000000007"/>
    <n v="16"/>
    <n v="12.21"/>
    <n v="4"/>
    <n v="3.92"/>
    <x v="0"/>
  </r>
  <r>
    <x v="0"/>
    <s v="長生郡白子町"/>
    <x v="55"/>
    <x v="0"/>
    <n v="0"/>
    <n v="0"/>
    <n v="0"/>
    <n v="0"/>
    <n v="0"/>
    <n v="0"/>
    <x v="0"/>
  </r>
  <r>
    <x v="0"/>
    <s v="長生郡白子町"/>
    <x v="55"/>
    <x v="1"/>
    <n v="45"/>
    <n v="20.27"/>
    <n v="15"/>
    <n v="12.3"/>
    <n v="30"/>
    <n v="30.3"/>
    <x v="0"/>
  </r>
  <r>
    <x v="0"/>
    <s v="長生郡白子町"/>
    <x v="55"/>
    <x v="2"/>
    <n v="24"/>
    <n v="10.81"/>
    <n v="10"/>
    <n v="8.1999999999999993"/>
    <n v="14"/>
    <n v="14.14"/>
    <x v="0"/>
  </r>
  <r>
    <x v="0"/>
    <s v="長生郡白子町"/>
    <x v="55"/>
    <x v="3"/>
    <n v="0"/>
    <n v="0"/>
    <n v="0"/>
    <n v="0"/>
    <n v="0"/>
    <n v="0"/>
    <x v="0"/>
  </r>
  <r>
    <x v="0"/>
    <s v="長生郡白子町"/>
    <x v="55"/>
    <x v="4"/>
    <n v="2"/>
    <n v="0.9"/>
    <n v="0"/>
    <n v="0"/>
    <n v="2"/>
    <n v="2.02"/>
    <x v="0"/>
  </r>
  <r>
    <x v="0"/>
    <s v="長生郡白子町"/>
    <x v="55"/>
    <x v="5"/>
    <n v="2"/>
    <n v="0.9"/>
    <n v="0"/>
    <n v="0"/>
    <n v="2"/>
    <n v="2.02"/>
    <x v="0"/>
  </r>
  <r>
    <x v="0"/>
    <s v="長生郡白子町"/>
    <x v="55"/>
    <x v="6"/>
    <n v="47"/>
    <n v="21.17"/>
    <n v="28"/>
    <n v="22.95"/>
    <n v="19"/>
    <n v="19.190000000000001"/>
    <x v="0"/>
  </r>
  <r>
    <x v="0"/>
    <s v="長生郡白子町"/>
    <x v="55"/>
    <x v="7"/>
    <n v="1"/>
    <n v="0.45"/>
    <n v="0"/>
    <n v="0"/>
    <n v="1"/>
    <n v="1.01"/>
    <x v="0"/>
  </r>
  <r>
    <x v="0"/>
    <s v="長生郡白子町"/>
    <x v="55"/>
    <x v="8"/>
    <n v="8"/>
    <n v="3.6"/>
    <n v="1"/>
    <n v="0.82"/>
    <n v="7"/>
    <n v="7.07"/>
    <x v="0"/>
  </r>
  <r>
    <x v="0"/>
    <s v="長生郡白子町"/>
    <x v="55"/>
    <x v="9"/>
    <n v="5"/>
    <n v="2.25"/>
    <n v="2"/>
    <n v="1.64"/>
    <n v="3"/>
    <n v="3.03"/>
    <x v="0"/>
  </r>
  <r>
    <x v="0"/>
    <s v="長生郡白子町"/>
    <x v="55"/>
    <x v="10"/>
    <n v="36"/>
    <n v="16.22"/>
    <n v="29"/>
    <n v="23.77"/>
    <n v="7"/>
    <n v="7.07"/>
    <x v="0"/>
  </r>
  <r>
    <x v="0"/>
    <s v="長生郡白子町"/>
    <x v="55"/>
    <x v="11"/>
    <n v="33"/>
    <n v="14.86"/>
    <n v="28"/>
    <n v="22.95"/>
    <n v="5"/>
    <n v="5.05"/>
    <x v="0"/>
  </r>
  <r>
    <x v="0"/>
    <s v="長生郡白子町"/>
    <x v="55"/>
    <x v="12"/>
    <n v="2"/>
    <n v="0.9"/>
    <n v="2"/>
    <n v="1.64"/>
    <n v="0"/>
    <n v="0"/>
    <x v="0"/>
  </r>
  <r>
    <x v="0"/>
    <s v="長生郡白子町"/>
    <x v="55"/>
    <x v="13"/>
    <n v="6"/>
    <n v="2.7"/>
    <n v="4"/>
    <n v="3.28"/>
    <n v="2"/>
    <n v="2.02"/>
    <x v="0"/>
  </r>
  <r>
    <x v="0"/>
    <s v="長生郡白子町"/>
    <x v="55"/>
    <x v="14"/>
    <n v="11"/>
    <n v="4.95"/>
    <n v="3"/>
    <n v="2.46"/>
    <n v="7"/>
    <n v="7.07"/>
    <x v="1"/>
  </r>
  <r>
    <x v="0"/>
    <s v="長生郡長柄町"/>
    <x v="56"/>
    <x v="0"/>
    <n v="0"/>
    <n v="0"/>
    <n v="0"/>
    <n v="0"/>
    <n v="0"/>
    <n v="0"/>
    <x v="0"/>
  </r>
  <r>
    <x v="0"/>
    <s v="長生郡長柄町"/>
    <x v="56"/>
    <x v="1"/>
    <n v="33"/>
    <n v="22.15"/>
    <n v="11"/>
    <n v="15.71"/>
    <n v="22"/>
    <n v="28.57"/>
    <x v="0"/>
  </r>
  <r>
    <x v="0"/>
    <s v="長生郡長柄町"/>
    <x v="56"/>
    <x v="2"/>
    <n v="29"/>
    <n v="19.46"/>
    <n v="7"/>
    <n v="10"/>
    <n v="22"/>
    <n v="28.57"/>
    <x v="0"/>
  </r>
  <r>
    <x v="0"/>
    <s v="長生郡長柄町"/>
    <x v="56"/>
    <x v="3"/>
    <n v="0"/>
    <n v="0"/>
    <n v="0"/>
    <n v="0"/>
    <n v="0"/>
    <n v="0"/>
    <x v="0"/>
  </r>
  <r>
    <x v="0"/>
    <s v="長生郡長柄町"/>
    <x v="56"/>
    <x v="4"/>
    <n v="0"/>
    <n v="0"/>
    <n v="0"/>
    <n v="0"/>
    <n v="0"/>
    <n v="0"/>
    <x v="0"/>
  </r>
  <r>
    <x v="0"/>
    <s v="長生郡長柄町"/>
    <x v="56"/>
    <x v="5"/>
    <n v="0"/>
    <n v="0"/>
    <n v="0"/>
    <n v="0"/>
    <n v="0"/>
    <n v="0"/>
    <x v="0"/>
  </r>
  <r>
    <x v="0"/>
    <s v="長生郡長柄町"/>
    <x v="56"/>
    <x v="6"/>
    <n v="25"/>
    <n v="16.78"/>
    <n v="16"/>
    <n v="22.86"/>
    <n v="9"/>
    <n v="11.69"/>
    <x v="0"/>
  </r>
  <r>
    <x v="0"/>
    <s v="長生郡長柄町"/>
    <x v="56"/>
    <x v="7"/>
    <n v="0"/>
    <n v="0"/>
    <n v="0"/>
    <n v="0"/>
    <n v="0"/>
    <n v="0"/>
    <x v="0"/>
  </r>
  <r>
    <x v="0"/>
    <s v="長生郡長柄町"/>
    <x v="56"/>
    <x v="8"/>
    <n v="7"/>
    <n v="4.7"/>
    <n v="1"/>
    <n v="1.43"/>
    <n v="6"/>
    <n v="7.79"/>
    <x v="0"/>
  </r>
  <r>
    <x v="0"/>
    <s v="長生郡長柄町"/>
    <x v="56"/>
    <x v="9"/>
    <n v="5"/>
    <n v="3.36"/>
    <n v="2"/>
    <n v="2.86"/>
    <n v="3"/>
    <n v="3.9"/>
    <x v="0"/>
  </r>
  <r>
    <x v="0"/>
    <s v="長生郡長柄町"/>
    <x v="56"/>
    <x v="10"/>
    <n v="18"/>
    <n v="12.08"/>
    <n v="13"/>
    <n v="18.57"/>
    <n v="4"/>
    <n v="5.19"/>
    <x v="0"/>
  </r>
  <r>
    <x v="0"/>
    <s v="長生郡長柄町"/>
    <x v="56"/>
    <x v="11"/>
    <n v="13"/>
    <n v="8.7200000000000006"/>
    <n v="13"/>
    <n v="18.57"/>
    <n v="0"/>
    <n v="0"/>
    <x v="0"/>
  </r>
  <r>
    <x v="0"/>
    <s v="長生郡長柄町"/>
    <x v="56"/>
    <x v="12"/>
    <n v="3"/>
    <n v="2.0099999999999998"/>
    <n v="2"/>
    <n v="2.86"/>
    <n v="1"/>
    <n v="1.3"/>
    <x v="0"/>
  </r>
  <r>
    <x v="0"/>
    <s v="長生郡長柄町"/>
    <x v="56"/>
    <x v="13"/>
    <n v="2"/>
    <n v="1.34"/>
    <n v="1"/>
    <n v="1.43"/>
    <n v="0"/>
    <n v="0"/>
    <x v="0"/>
  </r>
  <r>
    <x v="0"/>
    <s v="長生郡長柄町"/>
    <x v="56"/>
    <x v="14"/>
    <n v="14"/>
    <n v="9.4"/>
    <n v="4"/>
    <n v="5.71"/>
    <n v="10"/>
    <n v="12.99"/>
    <x v="0"/>
  </r>
  <r>
    <x v="0"/>
    <s v="長生郡長南町"/>
    <x v="57"/>
    <x v="0"/>
    <n v="0"/>
    <n v="0"/>
    <n v="0"/>
    <n v="0"/>
    <n v="0"/>
    <n v="0"/>
    <x v="0"/>
  </r>
  <r>
    <x v="0"/>
    <s v="長生郡長南町"/>
    <x v="57"/>
    <x v="1"/>
    <n v="44"/>
    <n v="23.4"/>
    <n v="17"/>
    <n v="15.74"/>
    <n v="27"/>
    <n v="34.18"/>
    <x v="0"/>
  </r>
  <r>
    <x v="0"/>
    <s v="長生郡長南町"/>
    <x v="57"/>
    <x v="2"/>
    <n v="22"/>
    <n v="11.7"/>
    <n v="4"/>
    <n v="3.7"/>
    <n v="18"/>
    <n v="22.78"/>
    <x v="0"/>
  </r>
  <r>
    <x v="0"/>
    <s v="長生郡長南町"/>
    <x v="57"/>
    <x v="3"/>
    <n v="0"/>
    <n v="0"/>
    <n v="0"/>
    <n v="0"/>
    <n v="0"/>
    <n v="0"/>
    <x v="0"/>
  </r>
  <r>
    <x v="0"/>
    <s v="長生郡長南町"/>
    <x v="57"/>
    <x v="4"/>
    <n v="0"/>
    <n v="0"/>
    <n v="0"/>
    <n v="0"/>
    <n v="0"/>
    <n v="0"/>
    <x v="0"/>
  </r>
  <r>
    <x v="0"/>
    <s v="長生郡長南町"/>
    <x v="57"/>
    <x v="5"/>
    <n v="5"/>
    <n v="2.66"/>
    <n v="1"/>
    <n v="0.93"/>
    <n v="4"/>
    <n v="5.0599999999999996"/>
    <x v="0"/>
  </r>
  <r>
    <x v="0"/>
    <s v="長生郡長南町"/>
    <x v="57"/>
    <x v="6"/>
    <n v="41"/>
    <n v="21.81"/>
    <n v="28"/>
    <n v="25.93"/>
    <n v="13"/>
    <n v="16.46"/>
    <x v="0"/>
  </r>
  <r>
    <x v="0"/>
    <s v="長生郡長南町"/>
    <x v="57"/>
    <x v="7"/>
    <n v="0"/>
    <n v="0"/>
    <n v="0"/>
    <n v="0"/>
    <n v="0"/>
    <n v="0"/>
    <x v="0"/>
  </r>
  <r>
    <x v="0"/>
    <s v="長生郡長南町"/>
    <x v="57"/>
    <x v="8"/>
    <n v="4"/>
    <n v="2.13"/>
    <n v="1"/>
    <n v="0.93"/>
    <n v="3"/>
    <n v="3.8"/>
    <x v="0"/>
  </r>
  <r>
    <x v="0"/>
    <s v="長生郡長南町"/>
    <x v="57"/>
    <x v="9"/>
    <n v="2"/>
    <n v="1.06"/>
    <n v="0"/>
    <n v="0"/>
    <n v="2"/>
    <n v="2.5299999999999998"/>
    <x v="0"/>
  </r>
  <r>
    <x v="0"/>
    <s v="長生郡長南町"/>
    <x v="57"/>
    <x v="10"/>
    <n v="27"/>
    <n v="14.36"/>
    <n v="21"/>
    <n v="19.440000000000001"/>
    <n v="6"/>
    <n v="7.59"/>
    <x v="0"/>
  </r>
  <r>
    <x v="0"/>
    <s v="長生郡長南町"/>
    <x v="57"/>
    <x v="11"/>
    <n v="23"/>
    <n v="12.23"/>
    <n v="21"/>
    <n v="19.440000000000001"/>
    <n v="2"/>
    <n v="2.5299999999999998"/>
    <x v="0"/>
  </r>
  <r>
    <x v="0"/>
    <s v="長生郡長南町"/>
    <x v="57"/>
    <x v="12"/>
    <n v="3"/>
    <n v="1.6"/>
    <n v="2"/>
    <n v="1.85"/>
    <n v="1"/>
    <n v="1.27"/>
    <x v="0"/>
  </r>
  <r>
    <x v="0"/>
    <s v="長生郡長南町"/>
    <x v="57"/>
    <x v="13"/>
    <n v="7"/>
    <n v="3.72"/>
    <n v="5"/>
    <n v="4.63"/>
    <n v="2"/>
    <n v="2.5299999999999998"/>
    <x v="0"/>
  </r>
  <r>
    <x v="0"/>
    <s v="長生郡長南町"/>
    <x v="57"/>
    <x v="14"/>
    <n v="10"/>
    <n v="5.32"/>
    <n v="8"/>
    <n v="7.41"/>
    <n v="1"/>
    <n v="1.27"/>
    <x v="1"/>
  </r>
  <r>
    <x v="0"/>
    <s v="夷隅郡大多喜町"/>
    <x v="58"/>
    <x v="0"/>
    <n v="0"/>
    <n v="0"/>
    <n v="0"/>
    <n v="0"/>
    <n v="0"/>
    <n v="0"/>
    <x v="0"/>
  </r>
  <r>
    <x v="0"/>
    <s v="夷隅郡大多喜町"/>
    <x v="58"/>
    <x v="1"/>
    <n v="57"/>
    <n v="18.27"/>
    <n v="32"/>
    <n v="18.079999999999998"/>
    <n v="25"/>
    <n v="18.940000000000001"/>
    <x v="0"/>
  </r>
  <r>
    <x v="0"/>
    <s v="夷隅郡大多喜町"/>
    <x v="58"/>
    <x v="2"/>
    <n v="41"/>
    <n v="13.14"/>
    <n v="15"/>
    <n v="8.4700000000000006"/>
    <n v="26"/>
    <n v="19.7"/>
    <x v="0"/>
  </r>
  <r>
    <x v="0"/>
    <s v="夷隅郡大多喜町"/>
    <x v="58"/>
    <x v="3"/>
    <n v="1"/>
    <n v="0.32"/>
    <n v="0"/>
    <n v="0"/>
    <n v="1"/>
    <n v="0.76"/>
    <x v="0"/>
  </r>
  <r>
    <x v="0"/>
    <s v="夷隅郡大多喜町"/>
    <x v="58"/>
    <x v="4"/>
    <n v="2"/>
    <n v="0.64"/>
    <n v="1"/>
    <n v="0.56000000000000005"/>
    <n v="1"/>
    <n v="0.76"/>
    <x v="0"/>
  </r>
  <r>
    <x v="0"/>
    <s v="夷隅郡大多喜町"/>
    <x v="58"/>
    <x v="5"/>
    <n v="0"/>
    <n v="0"/>
    <n v="0"/>
    <n v="0"/>
    <n v="0"/>
    <n v="0"/>
    <x v="0"/>
  </r>
  <r>
    <x v="0"/>
    <s v="夷隅郡大多喜町"/>
    <x v="58"/>
    <x v="6"/>
    <n v="88"/>
    <n v="28.21"/>
    <n v="43"/>
    <n v="24.29"/>
    <n v="45"/>
    <n v="34.090000000000003"/>
    <x v="0"/>
  </r>
  <r>
    <x v="0"/>
    <s v="夷隅郡大多喜町"/>
    <x v="58"/>
    <x v="7"/>
    <n v="0"/>
    <n v="0"/>
    <n v="0"/>
    <n v="0"/>
    <n v="0"/>
    <n v="0"/>
    <x v="0"/>
  </r>
  <r>
    <x v="0"/>
    <s v="夷隅郡大多喜町"/>
    <x v="58"/>
    <x v="8"/>
    <n v="11"/>
    <n v="3.53"/>
    <n v="3"/>
    <n v="1.69"/>
    <n v="8"/>
    <n v="6.06"/>
    <x v="0"/>
  </r>
  <r>
    <x v="0"/>
    <s v="夷隅郡大多喜町"/>
    <x v="58"/>
    <x v="9"/>
    <n v="3"/>
    <n v="0.96"/>
    <n v="3"/>
    <n v="1.69"/>
    <n v="0"/>
    <n v="0"/>
    <x v="0"/>
  </r>
  <r>
    <x v="0"/>
    <s v="夷隅郡大多喜町"/>
    <x v="58"/>
    <x v="10"/>
    <n v="51"/>
    <n v="16.350000000000001"/>
    <n v="40"/>
    <n v="22.6"/>
    <n v="11"/>
    <n v="8.33"/>
    <x v="0"/>
  </r>
  <r>
    <x v="0"/>
    <s v="夷隅郡大多喜町"/>
    <x v="58"/>
    <x v="11"/>
    <n v="36"/>
    <n v="11.54"/>
    <n v="28"/>
    <n v="15.82"/>
    <n v="7"/>
    <n v="5.3"/>
    <x v="0"/>
  </r>
  <r>
    <x v="0"/>
    <s v="夷隅郡大多喜町"/>
    <x v="58"/>
    <x v="12"/>
    <n v="4"/>
    <n v="1.28"/>
    <n v="3"/>
    <n v="1.69"/>
    <n v="0"/>
    <n v="0"/>
    <x v="0"/>
  </r>
  <r>
    <x v="0"/>
    <s v="夷隅郡大多喜町"/>
    <x v="58"/>
    <x v="13"/>
    <n v="7"/>
    <n v="2.2400000000000002"/>
    <n v="4"/>
    <n v="2.2599999999999998"/>
    <n v="3"/>
    <n v="2.27"/>
    <x v="0"/>
  </r>
  <r>
    <x v="0"/>
    <s v="夷隅郡大多喜町"/>
    <x v="58"/>
    <x v="14"/>
    <n v="11"/>
    <n v="3.53"/>
    <n v="5"/>
    <n v="2.82"/>
    <n v="5"/>
    <n v="3.79"/>
    <x v="0"/>
  </r>
  <r>
    <x v="0"/>
    <s v="夷隅郡御宿町"/>
    <x v="59"/>
    <x v="0"/>
    <n v="0"/>
    <n v="0"/>
    <n v="0"/>
    <n v="0"/>
    <n v="0"/>
    <n v="0"/>
    <x v="0"/>
  </r>
  <r>
    <x v="0"/>
    <s v="夷隅郡御宿町"/>
    <x v="59"/>
    <x v="1"/>
    <n v="31"/>
    <n v="13.66"/>
    <n v="13"/>
    <n v="9.15"/>
    <n v="18"/>
    <n v="22.22"/>
    <x v="0"/>
  </r>
  <r>
    <x v="0"/>
    <s v="夷隅郡御宿町"/>
    <x v="59"/>
    <x v="2"/>
    <n v="17"/>
    <n v="7.49"/>
    <n v="10"/>
    <n v="7.04"/>
    <n v="7"/>
    <n v="8.64"/>
    <x v="0"/>
  </r>
  <r>
    <x v="0"/>
    <s v="夷隅郡御宿町"/>
    <x v="59"/>
    <x v="3"/>
    <n v="1"/>
    <n v="0.44"/>
    <n v="0"/>
    <n v="0"/>
    <n v="0"/>
    <n v="0"/>
    <x v="0"/>
  </r>
  <r>
    <x v="0"/>
    <s v="夷隅郡御宿町"/>
    <x v="59"/>
    <x v="4"/>
    <n v="4"/>
    <n v="1.76"/>
    <n v="0"/>
    <n v="0"/>
    <n v="4"/>
    <n v="4.9400000000000004"/>
    <x v="0"/>
  </r>
  <r>
    <x v="0"/>
    <s v="夷隅郡御宿町"/>
    <x v="59"/>
    <x v="5"/>
    <n v="2"/>
    <n v="0.88"/>
    <n v="1"/>
    <n v="0.7"/>
    <n v="1"/>
    <n v="1.23"/>
    <x v="0"/>
  </r>
  <r>
    <x v="0"/>
    <s v="夷隅郡御宿町"/>
    <x v="59"/>
    <x v="6"/>
    <n v="47"/>
    <n v="20.7"/>
    <n v="28"/>
    <n v="19.72"/>
    <n v="19"/>
    <n v="23.46"/>
    <x v="0"/>
  </r>
  <r>
    <x v="0"/>
    <s v="夷隅郡御宿町"/>
    <x v="59"/>
    <x v="7"/>
    <n v="0"/>
    <n v="0"/>
    <n v="0"/>
    <n v="0"/>
    <n v="0"/>
    <n v="0"/>
    <x v="0"/>
  </r>
  <r>
    <x v="0"/>
    <s v="夷隅郡御宿町"/>
    <x v="59"/>
    <x v="8"/>
    <n v="15"/>
    <n v="6.61"/>
    <n v="4"/>
    <n v="2.82"/>
    <n v="11"/>
    <n v="13.58"/>
    <x v="0"/>
  </r>
  <r>
    <x v="0"/>
    <s v="夷隅郡御宿町"/>
    <x v="59"/>
    <x v="9"/>
    <n v="7"/>
    <n v="3.08"/>
    <n v="2"/>
    <n v="1.41"/>
    <n v="5"/>
    <n v="6.17"/>
    <x v="0"/>
  </r>
  <r>
    <x v="0"/>
    <s v="夷隅郡御宿町"/>
    <x v="59"/>
    <x v="10"/>
    <n v="50"/>
    <n v="22.03"/>
    <n v="39"/>
    <n v="27.46"/>
    <n v="11"/>
    <n v="13.58"/>
    <x v="0"/>
  </r>
  <r>
    <x v="0"/>
    <s v="夷隅郡御宿町"/>
    <x v="59"/>
    <x v="11"/>
    <n v="34"/>
    <n v="14.98"/>
    <n v="33"/>
    <n v="23.24"/>
    <n v="0"/>
    <n v="0"/>
    <x v="0"/>
  </r>
  <r>
    <x v="0"/>
    <s v="夷隅郡御宿町"/>
    <x v="59"/>
    <x v="12"/>
    <n v="6"/>
    <n v="2.64"/>
    <n v="2"/>
    <n v="1.41"/>
    <n v="2"/>
    <n v="2.4700000000000002"/>
    <x v="0"/>
  </r>
  <r>
    <x v="0"/>
    <s v="夷隅郡御宿町"/>
    <x v="59"/>
    <x v="13"/>
    <n v="7"/>
    <n v="3.08"/>
    <n v="6"/>
    <n v="4.2300000000000004"/>
    <n v="1"/>
    <n v="1.23"/>
    <x v="0"/>
  </r>
  <r>
    <x v="0"/>
    <s v="夷隅郡御宿町"/>
    <x v="59"/>
    <x v="14"/>
    <n v="6"/>
    <n v="2.64"/>
    <n v="4"/>
    <n v="2.82"/>
    <n v="2"/>
    <n v="2.4700000000000002"/>
    <x v="0"/>
  </r>
  <r>
    <x v="0"/>
    <s v="安房郡鋸南町"/>
    <x v="60"/>
    <x v="0"/>
    <n v="2"/>
    <n v="0.84"/>
    <n v="0"/>
    <n v="0"/>
    <n v="2"/>
    <n v="2.41"/>
    <x v="0"/>
  </r>
  <r>
    <x v="0"/>
    <s v="安房郡鋸南町"/>
    <x v="60"/>
    <x v="1"/>
    <n v="40"/>
    <n v="16.809999999999999"/>
    <n v="23"/>
    <n v="15.44"/>
    <n v="17"/>
    <n v="20.48"/>
    <x v="0"/>
  </r>
  <r>
    <x v="0"/>
    <s v="安房郡鋸南町"/>
    <x v="60"/>
    <x v="2"/>
    <n v="11"/>
    <n v="4.62"/>
    <n v="4"/>
    <n v="2.68"/>
    <n v="7"/>
    <n v="8.43"/>
    <x v="0"/>
  </r>
  <r>
    <x v="0"/>
    <s v="安房郡鋸南町"/>
    <x v="60"/>
    <x v="3"/>
    <n v="1"/>
    <n v="0.42"/>
    <n v="0"/>
    <n v="0"/>
    <n v="0"/>
    <n v="0"/>
    <x v="0"/>
  </r>
  <r>
    <x v="0"/>
    <s v="安房郡鋸南町"/>
    <x v="60"/>
    <x v="4"/>
    <n v="0"/>
    <n v="0"/>
    <n v="0"/>
    <n v="0"/>
    <n v="0"/>
    <n v="0"/>
    <x v="0"/>
  </r>
  <r>
    <x v="0"/>
    <s v="安房郡鋸南町"/>
    <x v="60"/>
    <x v="5"/>
    <n v="4"/>
    <n v="1.68"/>
    <n v="0"/>
    <n v="0"/>
    <n v="2"/>
    <n v="2.41"/>
    <x v="7"/>
  </r>
  <r>
    <x v="0"/>
    <s v="安房郡鋸南町"/>
    <x v="60"/>
    <x v="6"/>
    <n v="66"/>
    <n v="27.73"/>
    <n v="39"/>
    <n v="26.17"/>
    <n v="27"/>
    <n v="32.53"/>
    <x v="0"/>
  </r>
  <r>
    <x v="0"/>
    <s v="安房郡鋸南町"/>
    <x v="60"/>
    <x v="7"/>
    <n v="1"/>
    <n v="0.42"/>
    <n v="0"/>
    <n v="0"/>
    <n v="1"/>
    <n v="1.2"/>
    <x v="0"/>
  </r>
  <r>
    <x v="0"/>
    <s v="安房郡鋸南町"/>
    <x v="60"/>
    <x v="8"/>
    <n v="3"/>
    <n v="1.26"/>
    <n v="0"/>
    <n v="0"/>
    <n v="3"/>
    <n v="3.61"/>
    <x v="0"/>
  </r>
  <r>
    <x v="0"/>
    <s v="安房郡鋸南町"/>
    <x v="60"/>
    <x v="9"/>
    <n v="4"/>
    <n v="1.68"/>
    <n v="3"/>
    <n v="2.0099999999999998"/>
    <n v="1"/>
    <n v="1.2"/>
    <x v="0"/>
  </r>
  <r>
    <x v="0"/>
    <s v="安房郡鋸南町"/>
    <x v="60"/>
    <x v="10"/>
    <n v="49"/>
    <n v="20.59"/>
    <n v="42"/>
    <n v="28.19"/>
    <n v="6"/>
    <n v="7.23"/>
    <x v="0"/>
  </r>
  <r>
    <x v="0"/>
    <s v="安房郡鋸南町"/>
    <x v="60"/>
    <x v="11"/>
    <n v="30"/>
    <n v="12.61"/>
    <n v="26"/>
    <n v="17.45"/>
    <n v="4"/>
    <n v="4.82"/>
    <x v="0"/>
  </r>
  <r>
    <x v="0"/>
    <s v="安房郡鋸南町"/>
    <x v="60"/>
    <x v="12"/>
    <n v="6"/>
    <n v="2.52"/>
    <n v="4"/>
    <n v="2.68"/>
    <n v="0"/>
    <n v="0"/>
    <x v="0"/>
  </r>
  <r>
    <x v="0"/>
    <s v="安房郡鋸南町"/>
    <x v="60"/>
    <x v="13"/>
    <n v="9"/>
    <n v="3.78"/>
    <n v="4"/>
    <n v="2.68"/>
    <n v="5"/>
    <n v="6.02"/>
    <x v="0"/>
  </r>
  <r>
    <x v="0"/>
    <s v="安房郡鋸南町"/>
    <x v="60"/>
    <x v="14"/>
    <n v="12"/>
    <n v="5.04"/>
    <n v="4"/>
    <n v="2.68"/>
    <n v="8"/>
    <n v="9.64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14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1"/>
  </r>
  <r>
    <x v="0"/>
    <x v="0"/>
    <x v="0"/>
    <x v="4"/>
    <x v="4"/>
    <x v="4"/>
    <x v="4"/>
    <x v="4"/>
    <x v="4"/>
    <x v="4"/>
    <x v="4"/>
    <x v="4"/>
    <x v="4"/>
    <x v="3"/>
  </r>
  <r>
    <x v="0"/>
    <x v="0"/>
    <x v="0"/>
    <x v="5"/>
    <x v="5"/>
    <x v="5"/>
    <x v="5"/>
    <x v="5"/>
    <x v="5"/>
    <x v="5"/>
    <x v="5"/>
    <x v="5"/>
    <x v="5"/>
    <x v="4"/>
  </r>
  <r>
    <x v="0"/>
    <x v="0"/>
    <x v="0"/>
    <x v="6"/>
    <x v="6"/>
    <x v="6"/>
    <x v="6"/>
    <x v="6"/>
    <x v="6"/>
    <x v="6"/>
    <x v="6"/>
    <x v="6"/>
    <x v="6"/>
    <x v="4"/>
  </r>
  <r>
    <x v="0"/>
    <x v="0"/>
    <x v="0"/>
    <x v="7"/>
    <x v="7"/>
    <x v="7"/>
    <x v="7"/>
    <x v="7"/>
    <x v="7"/>
    <x v="7"/>
    <x v="7"/>
    <x v="7"/>
    <x v="7"/>
    <x v="3"/>
  </r>
  <r>
    <x v="0"/>
    <x v="0"/>
    <x v="0"/>
    <x v="8"/>
    <x v="8"/>
    <x v="8"/>
    <x v="8"/>
    <x v="8"/>
    <x v="8"/>
    <x v="8"/>
    <x v="8"/>
    <x v="8"/>
    <x v="8"/>
    <x v="4"/>
  </r>
  <r>
    <x v="0"/>
    <x v="0"/>
    <x v="0"/>
    <x v="9"/>
    <x v="9"/>
    <x v="9"/>
    <x v="9"/>
    <x v="9"/>
    <x v="9"/>
    <x v="9"/>
    <x v="9"/>
    <x v="9"/>
    <x v="9"/>
    <x v="5"/>
  </r>
  <r>
    <x v="0"/>
    <x v="0"/>
    <x v="0"/>
    <x v="10"/>
    <x v="10"/>
    <x v="10"/>
    <x v="10"/>
    <x v="10"/>
    <x v="10"/>
    <x v="10"/>
    <x v="10"/>
    <x v="10"/>
    <x v="10"/>
    <x v="1"/>
  </r>
  <r>
    <x v="0"/>
    <x v="0"/>
    <x v="0"/>
    <x v="11"/>
    <x v="11"/>
    <x v="11"/>
    <x v="11"/>
    <x v="11"/>
    <x v="11"/>
    <x v="11"/>
    <x v="11"/>
    <x v="11"/>
    <x v="11"/>
    <x v="4"/>
  </r>
  <r>
    <x v="0"/>
    <x v="0"/>
    <x v="0"/>
    <x v="12"/>
    <x v="12"/>
    <x v="12"/>
    <x v="12"/>
    <x v="12"/>
    <x v="12"/>
    <x v="12"/>
    <x v="12"/>
    <x v="12"/>
    <x v="12"/>
    <x v="6"/>
  </r>
  <r>
    <x v="0"/>
    <x v="0"/>
    <x v="0"/>
    <x v="13"/>
    <x v="13"/>
    <x v="13"/>
    <x v="13"/>
    <x v="13"/>
    <x v="13"/>
    <x v="13"/>
    <x v="13"/>
    <x v="13"/>
    <x v="13"/>
    <x v="6"/>
  </r>
  <r>
    <x v="0"/>
    <x v="0"/>
    <x v="0"/>
    <x v="14"/>
    <x v="14"/>
    <x v="14"/>
    <x v="14"/>
    <x v="14"/>
    <x v="14"/>
    <x v="14"/>
    <x v="14"/>
    <x v="14"/>
    <x v="14"/>
    <x v="1"/>
  </r>
  <r>
    <x v="0"/>
    <x v="0"/>
    <x v="0"/>
    <x v="15"/>
    <x v="15"/>
    <x v="15"/>
    <x v="15"/>
    <x v="15"/>
    <x v="15"/>
    <x v="15"/>
    <x v="15"/>
    <x v="15"/>
    <x v="15"/>
    <x v="4"/>
  </r>
  <r>
    <x v="0"/>
    <x v="0"/>
    <x v="0"/>
    <x v="16"/>
    <x v="16"/>
    <x v="16"/>
    <x v="16"/>
    <x v="16"/>
    <x v="16"/>
    <x v="16"/>
    <x v="16"/>
    <x v="16"/>
    <x v="16"/>
    <x v="0"/>
  </r>
  <r>
    <x v="0"/>
    <x v="0"/>
    <x v="0"/>
    <x v="17"/>
    <x v="17"/>
    <x v="17"/>
    <x v="17"/>
    <x v="17"/>
    <x v="17"/>
    <x v="17"/>
    <x v="17"/>
    <x v="17"/>
    <x v="17"/>
    <x v="4"/>
  </r>
  <r>
    <x v="0"/>
    <x v="0"/>
    <x v="0"/>
    <x v="18"/>
    <x v="18"/>
    <x v="18"/>
    <x v="18"/>
    <x v="18"/>
    <x v="18"/>
    <x v="18"/>
    <x v="18"/>
    <x v="18"/>
    <x v="18"/>
    <x v="3"/>
  </r>
  <r>
    <x v="0"/>
    <x v="0"/>
    <x v="0"/>
    <x v="19"/>
    <x v="19"/>
    <x v="19"/>
    <x v="19"/>
    <x v="19"/>
    <x v="19"/>
    <x v="19"/>
    <x v="19"/>
    <x v="19"/>
    <x v="19"/>
    <x v="4"/>
  </r>
  <r>
    <x v="0"/>
    <x v="1"/>
    <x v="1"/>
    <x v="0"/>
    <x v="0"/>
    <x v="0"/>
    <x v="0"/>
    <x v="20"/>
    <x v="20"/>
    <x v="20"/>
    <x v="20"/>
    <x v="20"/>
    <x v="20"/>
    <x v="4"/>
  </r>
  <r>
    <x v="0"/>
    <x v="1"/>
    <x v="1"/>
    <x v="2"/>
    <x v="2"/>
    <x v="2"/>
    <x v="1"/>
    <x v="21"/>
    <x v="21"/>
    <x v="21"/>
    <x v="21"/>
    <x v="21"/>
    <x v="21"/>
    <x v="7"/>
  </r>
  <r>
    <x v="0"/>
    <x v="1"/>
    <x v="1"/>
    <x v="1"/>
    <x v="1"/>
    <x v="1"/>
    <x v="2"/>
    <x v="22"/>
    <x v="22"/>
    <x v="22"/>
    <x v="22"/>
    <x v="22"/>
    <x v="22"/>
    <x v="4"/>
  </r>
  <r>
    <x v="0"/>
    <x v="1"/>
    <x v="1"/>
    <x v="3"/>
    <x v="3"/>
    <x v="3"/>
    <x v="3"/>
    <x v="23"/>
    <x v="23"/>
    <x v="23"/>
    <x v="23"/>
    <x v="23"/>
    <x v="23"/>
    <x v="4"/>
  </r>
  <r>
    <x v="0"/>
    <x v="1"/>
    <x v="1"/>
    <x v="4"/>
    <x v="4"/>
    <x v="4"/>
    <x v="4"/>
    <x v="24"/>
    <x v="24"/>
    <x v="24"/>
    <x v="24"/>
    <x v="24"/>
    <x v="24"/>
    <x v="7"/>
  </r>
  <r>
    <x v="0"/>
    <x v="1"/>
    <x v="1"/>
    <x v="5"/>
    <x v="5"/>
    <x v="5"/>
    <x v="5"/>
    <x v="25"/>
    <x v="25"/>
    <x v="25"/>
    <x v="25"/>
    <x v="25"/>
    <x v="25"/>
    <x v="4"/>
  </r>
  <r>
    <x v="0"/>
    <x v="1"/>
    <x v="1"/>
    <x v="6"/>
    <x v="6"/>
    <x v="6"/>
    <x v="6"/>
    <x v="26"/>
    <x v="26"/>
    <x v="26"/>
    <x v="26"/>
    <x v="26"/>
    <x v="26"/>
    <x v="4"/>
  </r>
  <r>
    <x v="0"/>
    <x v="1"/>
    <x v="1"/>
    <x v="10"/>
    <x v="10"/>
    <x v="10"/>
    <x v="7"/>
    <x v="27"/>
    <x v="27"/>
    <x v="27"/>
    <x v="27"/>
    <x v="27"/>
    <x v="27"/>
    <x v="1"/>
  </r>
  <r>
    <x v="0"/>
    <x v="1"/>
    <x v="1"/>
    <x v="8"/>
    <x v="8"/>
    <x v="8"/>
    <x v="8"/>
    <x v="28"/>
    <x v="6"/>
    <x v="28"/>
    <x v="28"/>
    <x v="28"/>
    <x v="28"/>
    <x v="4"/>
  </r>
  <r>
    <x v="0"/>
    <x v="1"/>
    <x v="1"/>
    <x v="9"/>
    <x v="9"/>
    <x v="9"/>
    <x v="9"/>
    <x v="29"/>
    <x v="28"/>
    <x v="29"/>
    <x v="29"/>
    <x v="29"/>
    <x v="29"/>
    <x v="7"/>
  </r>
  <r>
    <x v="0"/>
    <x v="1"/>
    <x v="1"/>
    <x v="7"/>
    <x v="7"/>
    <x v="7"/>
    <x v="10"/>
    <x v="30"/>
    <x v="29"/>
    <x v="30"/>
    <x v="30"/>
    <x v="30"/>
    <x v="30"/>
    <x v="4"/>
  </r>
  <r>
    <x v="0"/>
    <x v="1"/>
    <x v="1"/>
    <x v="12"/>
    <x v="12"/>
    <x v="12"/>
    <x v="11"/>
    <x v="31"/>
    <x v="30"/>
    <x v="31"/>
    <x v="31"/>
    <x v="31"/>
    <x v="31"/>
    <x v="4"/>
  </r>
  <r>
    <x v="0"/>
    <x v="1"/>
    <x v="1"/>
    <x v="11"/>
    <x v="11"/>
    <x v="11"/>
    <x v="12"/>
    <x v="32"/>
    <x v="31"/>
    <x v="32"/>
    <x v="32"/>
    <x v="32"/>
    <x v="32"/>
    <x v="4"/>
  </r>
  <r>
    <x v="0"/>
    <x v="1"/>
    <x v="1"/>
    <x v="13"/>
    <x v="13"/>
    <x v="13"/>
    <x v="13"/>
    <x v="33"/>
    <x v="32"/>
    <x v="33"/>
    <x v="33"/>
    <x v="33"/>
    <x v="33"/>
    <x v="4"/>
  </r>
  <r>
    <x v="0"/>
    <x v="1"/>
    <x v="1"/>
    <x v="14"/>
    <x v="14"/>
    <x v="14"/>
    <x v="14"/>
    <x v="34"/>
    <x v="33"/>
    <x v="34"/>
    <x v="34"/>
    <x v="34"/>
    <x v="34"/>
    <x v="4"/>
  </r>
  <r>
    <x v="0"/>
    <x v="1"/>
    <x v="1"/>
    <x v="19"/>
    <x v="19"/>
    <x v="19"/>
    <x v="15"/>
    <x v="35"/>
    <x v="34"/>
    <x v="35"/>
    <x v="35"/>
    <x v="35"/>
    <x v="35"/>
    <x v="4"/>
  </r>
  <r>
    <x v="0"/>
    <x v="1"/>
    <x v="1"/>
    <x v="18"/>
    <x v="18"/>
    <x v="18"/>
    <x v="16"/>
    <x v="36"/>
    <x v="35"/>
    <x v="36"/>
    <x v="36"/>
    <x v="36"/>
    <x v="36"/>
    <x v="1"/>
  </r>
  <r>
    <x v="0"/>
    <x v="1"/>
    <x v="1"/>
    <x v="20"/>
    <x v="20"/>
    <x v="20"/>
    <x v="17"/>
    <x v="37"/>
    <x v="36"/>
    <x v="37"/>
    <x v="37"/>
    <x v="37"/>
    <x v="37"/>
    <x v="4"/>
  </r>
  <r>
    <x v="0"/>
    <x v="1"/>
    <x v="1"/>
    <x v="21"/>
    <x v="21"/>
    <x v="21"/>
    <x v="17"/>
    <x v="37"/>
    <x v="36"/>
    <x v="36"/>
    <x v="36"/>
    <x v="38"/>
    <x v="19"/>
    <x v="0"/>
  </r>
  <r>
    <x v="0"/>
    <x v="1"/>
    <x v="1"/>
    <x v="17"/>
    <x v="17"/>
    <x v="17"/>
    <x v="19"/>
    <x v="38"/>
    <x v="36"/>
    <x v="38"/>
    <x v="38"/>
    <x v="39"/>
    <x v="38"/>
    <x v="4"/>
  </r>
  <r>
    <x v="0"/>
    <x v="2"/>
    <x v="2"/>
    <x v="2"/>
    <x v="2"/>
    <x v="2"/>
    <x v="0"/>
    <x v="39"/>
    <x v="37"/>
    <x v="39"/>
    <x v="39"/>
    <x v="40"/>
    <x v="39"/>
    <x v="1"/>
  </r>
  <r>
    <x v="0"/>
    <x v="2"/>
    <x v="2"/>
    <x v="0"/>
    <x v="0"/>
    <x v="0"/>
    <x v="1"/>
    <x v="40"/>
    <x v="38"/>
    <x v="40"/>
    <x v="40"/>
    <x v="41"/>
    <x v="40"/>
    <x v="4"/>
  </r>
  <r>
    <x v="0"/>
    <x v="2"/>
    <x v="2"/>
    <x v="1"/>
    <x v="1"/>
    <x v="1"/>
    <x v="2"/>
    <x v="41"/>
    <x v="39"/>
    <x v="41"/>
    <x v="41"/>
    <x v="42"/>
    <x v="41"/>
    <x v="4"/>
  </r>
  <r>
    <x v="0"/>
    <x v="2"/>
    <x v="2"/>
    <x v="10"/>
    <x v="10"/>
    <x v="10"/>
    <x v="3"/>
    <x v="42"/>
    <x v="40"/>
    <x v="42"/>
    <x v="42"/>
    <x v="43"/>
    <x v="42"/>
    <x v="4"/>
  </r>
  <r>
    <x v="0"/>
    <x v="2"/>
    <x v="2"/>
    <x v="4"/>
    <x v="4"/>
    <x v="4"/>
    <x v="4"/>
    <x v="43"/>
    <x v="41"/>
    <x v="43"/>
    <x v="2"/>
    <x v="44"/>
    <x v="43"/>
    <x v="1"/>
  </r>
  <r>
    <x v="0"/>
    <x v="2"/>
    <x v="2"/>
    <x v="3"/>
    <x v="3"/>
    <x v="3"/>
    <x v="5"/>
    <x v="44"/>
    <x v="42"/>
    <x v="44"/>
    <x v="43"/>
    <x v="45"/>
    <x v="44"/>
    <x v="4"/>
  </r>
  <r>
    <x v="0"/>
    <x v="2"/>
    <x v="2"/>
    <x v="12"/>
    <x v="12"/>
    <x v="12"/>
    <x v="6"/>
    <x v="45"/>
    <x v="43"/>
    <x v="45"/>
    <x v="44"/>
    <x v="46"/>
    <x v="45"/>
    <x v="4"/>
  </r>
  <r>
    <x v="0"/>
    <x v="2"/>
    <x v="2"/>
    <x v="6"/>
    <x v="6"/>
    <x v="6"/>
    <x v="7"/>
    <x v="46"/>
    <x v="44"/>
    <x v="46"/>
    <x v="45"/>
    <x v="47"/>
    <x v="46"/>
    <x v="4"/>
  </r>
  <r>
    <x v="0"/>
    <x v="2"/>
    <x v="2"/>
    <x v="5"/>
    <x v="5"/>
    <x v="5"/>
    <x v="8"/>
    <x v="47"/>
    <x v="45"/>
    <x v="47"/>
    <x v="46"/>
    <x v="48"/>
    <x v="47"/>
    <x v="4"/>
  </r>
  <r>
    <x v="0"/>
    <x v="2"/>
    <x v="2"/>
    <x v="8"/>
    <x v="8"/>
    <x v="8"/>
    <x v="8"/>
    <x v="47"/>
    <x v="45"/>
    <x v="48"/>
    <x v="47"/>
    <x v="49"/>
    <x v="48"/>
    <x v="4"/>
  </r>
  <r>
    <x v="0"/>
    <x v="2"/>
    <x v="2"/>
    <x v="7"/>
    <x v="7"/>
    <x v="7"/>
    <x v="10"/>
    <x v="48"/>
    <x v="46"/>
    <x v="49"/>
    <x v="48"/>
    <x v="50"/>
    <x v="49"/>
    <x v="4"/>
  </r>
  <r>
    <x v="0"/>
    <x v="2"/>
    <x v="2"/>
    <x v="9"/>
    <x v="9"/>
    <x v="9"/>
    <x v="11"/>
    <x v="49"/>
    <x v="47"/>
    <x v="50"/>
    <x v="49"/>
    <x v="51"/>
    <x v="50"/>
    <x v="1"/>
  </r>
  <r>
    <x v="0"/>
    <x v="2"/>
    <x v="2"/>
    <x v="13"/>
    <x v="13"/>
    <x v="13"/>
    <x v="12"/>
    <x v="50"/>
    <x v="48"/>
    <x v="51"/>
    <x v="50"/>
    <x v="28"/>
    <x v="51"/>
    <x v="4"/>
  </r>
  <r>
    <x v="0"/>
    <x v="2"/>
    <x v="2"/>
    <x v="14"/>
    <x v="14"/>
    <x v="14"/>
    <x v="13"/>
    <x v="51"/>
    <x v="49"/>
    <x v="52"/>
    <x v="51"/>
    <x v="52"/>
    <x v="52"/>
    <x v="4"/>
  </r>
  <r>
    <x v="0"/>
    <x v="2"/>
    <x v="2"/>
    <x v="19"/>
    <x v="19"/>
    <x v="19"/>
    <x v="14"/>
    <x v="52"/>
    <x v="50"/>
    <x v="52"/>
    <x v="51"/>
    <x v="53"/>
    <x v="22"/>
    <x v="4"/>
  </r>
  <r>
    <x v="0"/>
    <x v="2"/>
    <x v="2"/>
    <x v="11"/>
    <x v="11"/>
    <x v="11"/>
    <x v="15"/>
    <x v="53"/>
    <x v="51"/>
    <x v="45"/>
    <x v="44"/>
    <x v="54"/>
    <x v="53"/>
    <x v="4"/>
  </r>
  <r>
    <x v="0"/>
    <x v="2"/>
    <x v="2"/>
    <x v="21"/>
    <x v="21"/>
    <x v="21"/>
    <x v="15"/>
    <x v="53"/>
    <x v="51"/>
    <x v="53"/>
    <x v="52"/>
    <x v="55"/>
    <x v="54"/>
    <x v="7"/>
  </r>
  <r>
    <x v="0"/>
    <x v="2"/>
    <x v="2"/>
    <x v="20"/>
    <x v="20"/>
    <x v="20"/>
    <x v="17"/>
    <x v="54"/>
    <x v="52"/>
    <x v="54"/>
    <x v="53"/>
    <x v="56"/>
    <x v="55"/>
    <x v="4"/>
  </r>
  <r>
    <x v="0"/>
    <x v="2"/>
    <x v="2"/>
    <x v="16"/>
    <x v="16"/>
    <x v="16"/>
    <x v="18"/>
    <x v="55"/>
    <x v="53"/>
    <x v="55"/>
    <x v="16"/>
    <x v="57"/>
    <x v="56"/>
    <x v="4"/>
  </r>
  <r>
    <x v="0"/>
    <x v="2"/>
    <x v="2"/>
    <x v="17"/>
    <x v="17"/>
    <x v="17"/>
    <x v="19"/>
    <x v="56"/>
    <x v="16"/>
    <x v="54"/>
    <x v="53"/>
    <x v="58"/>
    <x v="37"/>
    <x v="4"/>
  </r>
  <r>
    <x v="0"/>
    <x v="3"/>
    <x v="3"/>
    <x v="2"/>
    <x v="2"/>
    <x v="2"/>
    <x v="0"/>
    <x v="57"/>
    <x v="54"/>
    <x v="56"/>
    <x v="54"/>
    <x v="59"/>
    <x v="57"/>
    <x v="4"/>
  </r>
  <r>
    <x v="0"/>
    <x v="3"/>
    <x v="3"/>
    <x v="0"/>
    <x v="0"/>
    <x v="0"/>
    <x v="1"/>
    <x v="44"/>
    <x v="55"/>
    <x v="57"/>
    <x v="55"/>
    <x v="60"/>
    <x v="58"/>
    <x v="4"/>
  </r>
  <r>
    <x v="0"/>
    <x v="3"/>
    <x v="3"/>
    <x v="3"/>
    <x v="3"/>
    <x v="3"/>
    <x v="2"/>
    <x v="48"/>
    <x v="56"/>
    <x v="58"/>
    <x v="56"/>
    <x v="61"/>
    <x v="59"/>
    <x v="4"/>
  </r>
  <r>
    <x v="0"/>
    <x v="3"/>
    <x v="3"/>
    <x v="5"/>
    <x v="5"/>
    <x v="5"/>
    <x v="3"/>
    <x v="58"/>
    <x v="57"/>
    <x v="59"/>
    <x v="57"/>
    <x v="62"/>
    <x v="60"/>
    <x v="4"/>
  </r>
  <r>
    <x v="0"/>
    <x v="3"/>
    <x v="3"/>
    <x v="1"/>
    <x v="1"/>
    <x v="1"/>
    <x v="4"/>
    <x v="49"/>
    <x v="3"/>
    <x v="60"/>
    <x v="58"/>
    <x v="63"/>
    <x v="61"/>
    <x v="4"/>
  </r>
  <r>
    <x v="0"/>
    <x v="3"/>
    <x v="3"/>
    <x v="6"/>
    <x v="6"/>
    <x v="6"/>
    <x v="5"/>
    <x v="59"/>
    <x v="58"/>
    <x v="61"/>
    <x v="59"/>
    <x v="64"/>
    <x v="62"/>
    <x v="4"/>
  </r>
  <r>
    <x v="0"/>
    <x v="3"/>
    <x v="3"/>
    <x v="4"/>
    <x v="4"/>
    <x v="4"/>
    <x v="6"/>
    <x v="60"/>
    <x v="59"/>
    <x v="62"/>
    <x v="60"/>
    <x v="65"/>
    <x v="63"/>
    <x v="1"/>
  </r>
  <r>
    <x v="0"/>
    <x v="3"/>
    <x v="3"/>
    <x v="8"/>
    <x v="8"/>
    <x v="8"/>
    <x v="7"/>
    <x v="61"/>
    <x v="60"/>
    <x v="63"/>
    <x v="61"/>
    <x v="66"/>
    <x v="48"/>
    <x v="4"/>
  </r>
  <r>
    <x v="0"/>
    <x v="3"/>
    <x v="3"/>
    <x v="7"/>
    <x v="7"/>
    <x v="7"/>
    <x v="8"/>
    <x v="62"/>
    <x v="61"/>
    <x v="64"/>
    <x v="62"/>
    <x v="67"/>
    <x v="64"/>
    <x v="4"/>
  </r>
  <r>
    <x v="0"/>
    <x v="3"/>
    <x v="3"/>
    <x v="9"/>
    <x v="9"/>
    <x v="9"/>
    <x v="9"/>
    <x v="63"/>
    <x v="46"/>
    <x v="65"/>
    <x v="63"/>
    <x v="68"/>
    <x v="65"/>
    <x v="4"/>
  </r>
  <r>
    <x v="0"/>
    <x v="3"/>
    <x v="3"/>
    <x v="11"/>
    <x v="11"/>
    <x v="11"/>
    <x v="10"/>
    <x v="64"/>
    <x v="62"/>
    <x v="66"/>
    <x v="64"/>
    <x v="69"/>
    <x v="66"/>
    <x v="4"/>
  </r>
  <r>
    <x v="0"/>
    <x v="3"/>
    <x v="3"/>
    <x v="10"/>
    <x v="10"/>
    <x v="10"/>
    <x v="11"/>
    <x v="65"/>
    <x v="63"/>
    <x v="67"/>
    <x v="65"/>
    <x v="70"/>
    <x v="67"/>
    <x v="4"/>
  </r>
  <r>
    <x v="0"/>
    <x v="3"/>
    <x v="3"/>
    <x v="12"/>
    <x v="12"/>
    <x v="12"/>
    <x v="12"/>
    <x v="66"/>
    <x v="64"/>
    <x v="61"/>
    <x v="59"/>
    <x v="70"/>
    <x v="67"/>
    <x v="4"/>
  </r>
  <r>
    <x v="0"/>
    <x v="3"/>
    <x v="3"/>
    <x v="18"/>
    <x v="18"/>
    <x v="18"/>
    <x v="12"/>
    <x v="66"/>
    <x v="64"/>
    <x v="54"/>
    <x v="66"/>
    <x v="71"/>
    <x v="68"/>
    <x v="4"/>
  </r>
  <r>
    <x v="0"/>
    <x v="3"/>
    <x v="3"/>
    <x v="19"/>
    <x v="19"/>
    <x v="19"/>
    <x v="14"/>
    <x v="67"/>
    <x v="65"/>
    <x v="53"/>
    <x v="67"/>
    <x v="72"/>
    <x v="69"/>
    <x v="4"/>
  </r>
  <r>
    <x v="0"/>
    <x v="3"/>
    <x v="3"/>
    <x v="14"/>
    <x v="14"/>
    <x v="14"/>
    <x v="14"/>
    <x v="67"/>
    <x v="65"/>
    <x v="52"/>
    <x v="51"/>
    <x v="73"/>
    <x v="70"/>
    <x v="4"/>
  </r>
  <r>
    <x v="0"/>
    <x v="3"/>
    <x v="3"/>
    <x v="15"/>
    <x v="15"/>
    <x v="15"/>
    <x v="14"/>
    <x v="67"/>
    <x v="65"/>
    <x v="68"/>
    <x v="68"/>
    <x v="68"/>
    <x v="65"/>
    <x v="4"/>
  </r>
  <r>
    <x v="0"/>
    <x v="3"/>
    <x v="3"/>
    <x v="22"/>
    <x v="22"/>
    <x v="22"/>
    <x v="17"/>
    <x v="68"/>
    <x v="66"/>
    <x v="54"/>
    <x v="66"/>
    <x v="74"/>
    <x v="71"/>
    <x v="4"/>
  </r>
  <r>
    <x v="0"/>
    <x v="3"/>
    <x v="3"/>
    <x v="21"/>
    <x v="21"/>
    <x v="21"/>
    <x v="17"/>
    <x v="68"/>
    <x v="66"/>
    <x v="54"/>
    <x v="66"/>
    <x v="74"/>
    <x v="71"/>
    <x v="4"/>
  </r>
  <r>
    <x v="0"/>
    <x v="3"/>
    <x v="3"/>
    <x v="17"/>
    <x v="17"/>
    <x v="17"/>
    <x v="19"/>
    <x v="69"/>
    <x v="67"/>
    <x v="35"/>
    <x v="69"/>
    <x v="63"/>
    <x v="61"/>
    <x v="4"/>
  </r>
  <r>
    <x v="0"/>
    <x v="4"/>
    <x v="4"/>
    <x v="2"/>
    <x v="2"/>
    <x v="2"/>
    <x v="0"/>
    <x v="70"/>
    <x v="68"/>
    <x v="69"/>
    <x v="70"/>
    <x v="75"/>
    <x v="72"/>
    <x v="4"/>
  </r>
  <r>
    <x v="0"/>
    <x v="4"/>
    <x v="4"/>
    <x v="0"/>
    <x v="0"/>
    <x v="0"/>
    <x v="1"/>
    <x v="71"/>
    <x v="69"/>
    <x v="70"/>
    <x v="71"/>
    <x v="76"/>
    <x v="73"/>
    <x v="4"/>
  </r>
  <r>
    <x v="0"/>
    <x v="4"/>
    <x v="4"/>
    <x v="1"/>
    <x v="1"/>
    <x v="1"/>
    <x v="2"/>
    <x v="72"/>
    <x v="70"/>
    <x v="71"/>
    <x v="72"/>
    <x v="72"/>
    <x v="69"/>
    <x v="4"/>
  </r>
  <r>
    <x v="0"/>
    <x v="4"/>
    <x v="4"/>
    <x v="8"/>
    <x v="8"/>
    <x v="8"/>
    <x v="3"/>
    <x v="51"/>
    <x v="71"/>
    <x v="72"/>
    <x v="73"/>
    <x v="77"/>
    <x v="74"/>
    <x v="4"/>
  </r>
  <r>
    <x v="0"/>
    <x v="4"/>
    <x v="4"/>
    <x v="4"/>
    <x v="4"/>
    <x v="4"/>
    <x v="4"/>
    <x v="73"/>
    <x v="72"/>
    <x v="26"/>
    <x v="74"/>
    <x v="78"/>
    <x v="75"/>
    <x v="4"/>
  </r>
  <r>
    <x v="0"/>
    <x v="4"/>
    <x v="4"/>
    <x v="5"/>
    <x v="5"/>
    <x v="5"/>
    <x v="5"/>
    <x v="74"/>
    <x v="73"/>
    <x v="61"/>
    <x v="50"/>
    <x v="53"/>
    <x v="76"/>
    <x v="4"/>
  </r>
  <r>
    <x v="0"/>
    <x v="4"/>
    <x v="4"/>
    <x v="3"/>
    <x v="3"/>
    <x v="3"/>
    <x v="6"/>
    <x v="75"/>
    <x v="74"/>
    <x v="44"/>
    <x v="75"/>
    <x v="79"/>
    <x v="77"/>
    <x v="4"/>
  </r>
  <r>
    <x v="0"/>
    <x v="4"/>
    <x v="4"/>
    <x v="6"/>
    <x v="6"/>
    <x v="6"/>
    <x v="7"/>
    <x v="76"/>
    <x v="75"/>
    <x v="44"/>
    <x v="75"/>
    <x v="43"/>
    <x v="78"/>
    <x v="4"/>
  </r>
  <r>
    <x v="0"/>
    <x v="4"/>
    <x v="4"/>
    <x v="9"/>
    <x v="9"/>
    <x v="9"/>
    <x v="8"/>
    <x v="55"/>
    <x v="28"/>
    <x v="73"/>
    <x v="4"/>
    <x v="67"/>
    <x v="64"/>
    <x v="4"/>
  </r>
  <r>
    <x v="0"/>
    <x v="4"/>
    <x v="4"/>
    <x v="12"/>
    <x v="12"/>
    <x v="12"/>
    <x v="9"/>
    <x v="77"/>
    <x v="76"/>
    <x v="37"/>
    <x v="76"/>
    <x v="80"/>
    <x v="79"/>
    <x v="4"/>
  </r>
  <r>
    <x v="0"/>
    <x v="4"/>
    <x v="4"/>
    <x v="7"/>
    <x v="7"/>
    <x v="7"/>
    <x v="10"/>
    <x v="78"/>
    <x v="77"/>
    <x v="74"/>
    <x v="77"/>
    <x v="68"/>
    <x v="80"/>
    <x v="4"/>
  </r>
  <r>
    <x v="0"/>
    <x v="4"/>
    <x v="4"/>
    <x v="10"/>
    <x v="10"/>
    <x v="10"/>
    <x v="11"/>
    <x v="79"/>
    <x v="78"/>
    <x v="67"/>
    <x v="78"/>
    <x v="81"/>
    <x v="81"/>
    <x v="4"/>
  </r>
  <r>
    <x v="0"/>
    <x v="4"/>
    <x v="4"/>
    <x v="11"/>
    <x v="11"/>
    <x v="11"/>
    <x v="12"/>
    <x v="80"/>
    <x v="79"/>
    <x v="66"/>
    <x v="79"/>
    <x v="82"/>
    <x v="82"/>
    <x v="4"/>
  </r>
  <r>
    <x v="0"/>
    <x v="4"/>
    <x v="4"/>
    <x v="14"/>
    <x v="14"/>
    <x v="14"/>
    <x v="13"/>
    <x v="81"/>
    <x v="80"/>
    <x v="44"/>
    <x v="75"/>
    <x v="71"/>
    <x v="83"/>
    <x v="4"/>
  </r>
  <r>
    <x v="0"/>
    <x v="4"/>
    <x v="4"/>
    <x v="19"/>
    <x v="19"/>
    <x v="19"/>
    <x v="14"/>
    <x v="82"/>
    <x v="81"/>
    <x v="52"/>
    <x v="51"/>
    <x v="83"/>
    <x v="84"/>
    <x v="4"/>
  </r>
  <r>
    <x v="0"/>
    <x v="4"/>
    <x v="4"/>
    <x v="20"/>
    <x v="20"/>
    <x v="20"/>
    <x v="15"/>
    <x v="83"/>
    <x v="82"/>
    <x v="35"/>
    <x v="80"/>
    <x v="84"/>
    <x v="33"/>
    <x v="4"/>
  </r>
  <r>
    <x v="0"/>
    <x v="4"/>
    <x v="4"/>
    <x v="13"/>
    <x v="13"/>
    <x v="13"/>
    <x v="15"/>
    <x v="83"/>
    <x v="82"/>
    <x v="75"/>
    <x v="81"/>
    <x v="85"/>
    <x v="85"/>
    <x v="4"/>
  </r>
  <r>
    <x v="0"/>
    <x v="4"/>
    <x v="4"/>
    <x v="17"/>
    <x v="17"/>
    <x v="17"/>
    <x v="17"/>
    <x v="68"/>
    <x v="52"/>
    <x v="52"/>
    <x v="51"/>
    <x v="86"/>
    <x v="86"/>
    <x v="4"/>
  </r>
  <r>
    <x v="0"/>
    <x v="4"/>
    <x v="4"/>
    <x v="18"/>
    <x v="18"/>
    <x v="18"/>
    <x v="18"/>
    <x v="84"/>
    <x v="16"/>
    <x v="53"/>
    <x v="34"/>
    <x v="67"/>
    <x v="64"/>
    <x v="4"/>
  </r>
  <r>
    <x v="0"/>
    <x v="4"/>
    <x v="4"/>
    <x v="21"/>
    <x v="21"/>
    <x v="21"/>
    <x v="18"/>
    <x v="84"/>
    <x v="16"/>
    <x v="54"/>
    <x v="82"/>
    <x v="63"/>
    <x v="87"/>
    <x v="4"/>
  </r>
  <r>
    <x v="0"/>
    <x v="5"/>
    <x v="5"/>
    <x v="0"/>
    <x v="0"/>
    <x v="0"/>
    <x v="0"/>
    <x v="85"/>
    <x v="83"/>
    <x v="76"/>
    <x v="83"/>
    <x v="65"/>
    <x v="88"/>
    <x v="4"/>
  </r>
  <r>
    <x v="0"/>
    <x v="5"/>
    <x v="5"/>
    <x v="5"/>
    <x v="5"/>
    <x v="5"/>
    <x v="1"/>
    <x v="45"/>
    <x v="84"/>
    <x v="67"/>
    <x v="84"/>
    <x v="87"/>
    <x v="89"/>
    <x v="4"/>
  </r>
  <r>
    <x v="0"/>
    <x v="5"/>
    <x v="5"/>
    <x v="3"/>
    <x v="3"/>
    <x v="3"/>
    <x v="2"/>
    <x v="86"/>
    <x v="85"/>
    <x v="58"/>
    <x v="85"/>
    <x v="88"/>
    <x v="90"/>
    <x v="4"/>
  </r>
  <r>
    <x v="0"/>
    <x v="5"/>
    <x v="5"/>
    <x v="6"/>
    <x v="6"/>
    <x v="6"/>
    <x v="3"/>
    <x v="87"/>
    <x v="86"/>
    <x v="58"/>
    <x v="85"/>
    <x v="89"/>
    <x v="91"/>
    <x v="4"/>
  </r>
  <r>
    <x v="0"/>
    <x v="5"/>
    <x v="5"/>
    <x v="1"/>
    <x v="1"/>
    <x v="1"/>
    <x v="3"/>
    <x v="87"/>
    <x v="86"/>
    <x v="77"/>
    <x v="86"/>
    <x v="82"/>
    <x v="92"/>
    <x v="4"/>
  </r>
  <r>
    <x v="0"/>
    <x v="5"/>
    <x v="5"/>
    <x v="2"/>
    <x v="2"/>
    <x v="2"/>
    <x v="5"/>
    <x v="88"/>
    <x v="87"/>
    <x v="34"/>
    <x v="87"/>
    <x v="90"/>
    <x v="93"/>
    <x v="4"/>
  </r>
  <r>
    <x v="0"/>
    <x v="5"/>
    <x v="5"/>
    <x v="4"/>
    <x v="4"/>
    <x v="4"/>
    <x v="6"/>
    <x v="50"/>
    <x v="88"/>
    <x v="78"/>
    <x v="88"/>
    <x v="55"/>
    <x v="94"/>
    <x v="4"/>
  </r>
  <r>
    <x v="0"/>
    <x v="5"/>
    <x v="5"/>
    <x v="8"/>
    <x v="8"/>
    <x v="8"/>
    <x v="7"/>
    <x v="89"/>
    <x v="61"/>
    <x v="33"/>
    <x v="89"/>
    <x v="91"/>
    <x v="95"/>
    <x v="4"/>
  </r>
  <r>
    <x v="0"/>
    <x v="5"/>
    <x v="5"/>
    <x v="11"/>
    <x v="11"/>
    <x v="11"/>
    <x v="8"/>
    <x v="90"/>
    <x v="89"/>
    <x v="79"/>
    <x v="90"/>
    <x v="51"/>
    <x v="96"/>
    <x v="4"/>
  </r>
  <r>
    <x v="0"/>
    <x v="5"/>
    <x v="5"/>
    <x v="7"/>
    <x v="7"/>
    <x v="7"/>
    <x v="9"/>
    <x v="91"/>
    <x v="90"/>
    <x v="26"/>
    <x v="91"/>
    <x v="92"/>
    <x v="97"/>
    <x v="4"/>
  </r>
  <r>
    <x v="0"/>
    <x v="5"/>
    <x v="5"/>
    <x v="12"/>
    <x v="12"/>
    <x v="12"/>
    <x v="10"/>
    <x v="92"/>
    <x v="32"/>
    <x v="61"/>
    <x v="31"/>
    <x v="73"/>
    <x v="98"/>
    <x v="4"/>
  </r>
  <r>
    <x v="0"/>
    <x v="5"/>
    <x v="5"/>
    <x v="15"/>
    <x v="15"/>
    <x v="15"/>
    <x v="10"/>
    <x v="92"/>
    <x v="32"/>
    <x v="18"/>
    <x v="65"/>
    <x v="93"/>
    <x v="99"/>
    <x v="4"/>
  </r>
  <r>
    <x v="0"/>
    <x v="5"/>
    <x v="5"/>
    <x v="9"/>
    <x v="9"/>
    <x v="9"/>
    <x v="12"/>
    <x v="93"/>
    <x v="91"/>
    <x v="45"/>
    <x v="92"/>
    <x v="94"/>
    <x v="100"/>
    <x v="4"/>
  </r>
  <r>
    <x v="0"/>
    <x v="5"/>
    <x v="5"/>
    <x v="10"/>
    <x v="10"/>
    <x v="10"/>
    <x v="13"/>
    <x v="81"/>
    <x v="64"/>
    <x v="80"/>
    <x v="93"/>
    <x v="95"/>
    <x v="101"/>
    <x v="4"/>
  </r>
  <r>
    <x v="0"/>
    <x v="5"/>
    <x v="5"/>
    <x v="17"/>
    <x v="17"/>
    <x v="17"/>
    <x v="14"/>
    <x v="66"/>
    <x v="92"/>
    <x v="44"/>
    <x v="94"/>
    <x v="96"/>
    <x v="102"/>
    <x v="4"/>
  </r>
  <r>
    <x v="0"/>
    <x v="5"/>
    <x v="5"/>
    <x v="14"/>
    <x v="14"/>
    <x v="14"/>
    <x v="15"/>
    <x v="94"/>
    <x v="34"/>
    <x v="53"/>
    <x v="95"/>
    <x v="71"/>
    <x v="103"/>
    <x v="4"/>
  </r>
  <r>
    <x v="0"/>
    <x v="5"/>
    <x v="5"/>
    <x v="19"/>
    <x v="19"/>
    <x v="19"/>
    <x v="16"/>
    <x v="67"/>
    <x v="93"/>
    <x v="54"/>
    <x v="96"/>
    <x v="82"/>
    <x v="92"/>
    <x v="4"/>
  </r>
  <r>
    <x v="0"/>
    <x v="5"/>
    <x v="5"/>
    <x v="20"/>
    <x v="20"/>
    <x v="20"/>
    <x v="16"/>
    <x v="67"/>
    <x v="93"/>
    <x v="46"/>
    <x v="97"/>
    <x v="70"/>
    <x v="38"/>
    <x v="4"/>
  </r>
  <r>
    <x v="0"/>
    <x v="5"/>
    <x v="5"/>
    <x v="18"/>
    <x v="18"/>
    <x v="18"/>
    <x v="18"/>
    <x v="95"/>
    <x v="51"/>
    <x v="35"/>
    <x v="98"/>
    <x v="70"/>
    <x v="38"/>
    <x v="4"/>
  </r>
  <r>
    <x v="0"/>
    <x v="5"/>
    <x v="5"/>
    <x v="16"/>
    <x v="16"/>
    <x v="16"/>
    <x v="19"/>
    <x v="68"/>
    <x v="94"/>
    <x v="81"/>
    <x v="99"/>
    <x v="97"/>
    <x v="85"/>
    <x v="4"/>
  </r>
  <r>
    <x v="0"/>
    <x v="6"/>
    <x v="6"/>
    <x v="0"/>
    <x v="0"/>
    <x v="0"/>
    <x v="0"/>
    <x v="46"/>
    <x v="95"/>
    <x v="82"/>
    <x v="100"/>
    <x v="65"/>
    <x v="104"/>
    <x v="4"/>
  </r>
  <r>
    <x v="0"/>
    <x v="6"/>
    <x v="6"/>
    <x v="9"/>
    <x v="9"/>
    <x v="9"/>
    <x v="1"/>
    <x v="96"/>
    <x v="96"/>
    <x v="83"/>
    <x v="101"/>
    <x v="72"/>
    <x v="105"/>
    <x v="4"/>
  </r>
  <r>
    <x v="0"/>
    <x v="6"/>
    <x v="6"/>
    <x v="3"/>
    <x v="3"/>
    <x v="3"/>
    <x v="2"/>
    <x v="53"/>
    <x v="97"/>
    <x v="35"/>
    <x v="102"/>
    <x v="55"/>
    <x v="106"/>
    <x v="4"/>
  </r>
  <r>
    <x v="0"/>
    <x v="6"/>
    <x v="6"/>
    <x v="2"/>
    <x v="2"/>
    <x v="2"/>
    <x v="3"/>
    <x v="97"/>
    <x v="98"/>
    <x v="34"/>
    <x v="50"/>
    <x v="98"/>
    <x v="107"/>
    <x v="4"/>
  </r>
  <r>
    <x v="0"/>
    <x v="6"/>
    <x v="6"/>
    <x v="8"/>
    <x v="8"/>
    <x v="8"/>
    <x v="4"/>
    <x v="56"/>
    <x v="99"/>
    <x v="84"/>
    <x v="103"/>
    <x v="99"/>
    <x v="108"/>
    <x v="4"/>
  </r>
  <r>
    <x v="0"/>
    <x v="6"/>
    <x v="6"/>
    <x v="1"/>
    <x v="1"/>
    <x v="1"/>
    <x v="5"/>
    <x v="98"/>
    <x v="100"/>
    <x v="85"/>
    <x v="104"/>
    <x v="99"/>
    <x v="108"/>
    <x v="4"/>
  </r>
  <r>
    <x v="0"/>
    <x v="6"/>
    <x v="6"/>
    <x v="5"/>
    <x v="5"/>
    <x v="5"/>
    <x v="6"/>
    <x v="64"/>
    <x v="73"/>
    <x v="38"/>
    <x v="105"/>
    <x v="100"/>
    <x v="109"/>
    <x v="4"/>
  </r>
  <r>
    <x v="0"/>
    <x v="6"/>
    <x v="6"/>
    <x v="4"/>
    <x v="4"/>
    <x v="4"/>
    <x v="7"/>
    <x v="99"/>
    <x v="101"/>
    <x v="66"/>
    <x v="106"/>
    <x v="71"/>
    <x v="110"/>
    <x v="4"/>
  </r>
  <r>
    <x v="0"/>
    <x v="6"/>
    <x v="6"/>
    <x v="6"/>
    <x v="6"/>
    <x v="6"/>
    <x v="8"/>
    <x v="80"/>
    <x v="102"/>
    <x v="46"/>
    <x v="107"/>
    <x v="101"/>
    <x v="111"/>
    <x v="4"/>
  </r>
  <r>
    <x v="0"/>
    <x v="6"/>
    <x v="6"/>
    <x v="10"/>
    <x v="10"/>
    <x v="10"/>
    <x v="9"/>
    <x v="100"/>
    <x v="103"/>
    <x v="79"/>
    <x v="108"/>
    <x v="63"/>
    <x v="0"/>
    <x v="4"/>
  </r>
  <r>
    <x v="0"/>
    <x v="6"/>
    <x v="6"/>
    <x v="7"/>
    <x v="7"/>
    <x v="7"/>
    <x v="10"/>
    <x v="101"/>
    <x v="104"/>
    <x v="75"/>
    <x v="109"/>
    <x v="102"/>
    <x v="112"/>
    <x v="4"/>
  </r>
  <r>
    <x v="0"/>
    <x v="6"/>
    <x v="6"/>
    <x v="11"/>
    <x v="11"/>
    <x v="11"/>
    <x v="11"/>
    <x v="102"/>
    <x v="31"/>
    <x v="86"/>
    <x v="110"/>
    <x v="99"/>
    <x v="108"/>
    <x v="4"/>
  </r>
  <r>
    <x v="0"/>
    <x v="6"/>
    <x v="6"/>
    <x v="16"/>
    <x v="16"/>
    <x v="16"/>
    <x v="11"/>
    <x v="102"/>
    <x v="31"/>
    <x v="81"/>
    <x v="111"/>
    <x v="102"/>
    <x v="112"/>
    <x v="4"/>
  </r>
  <r>
    <x v="0"/>
    <x v="6"/>
    <x v="6"/>
    <x v="13"/>
    <x v="13"/>
    <x v="13"/>
    <x v="13"/>
    <x v="103"/>
    <x v="80"/>
    <x v="58"/>
    <x v="112"/>
    <x v="103"/>
    <x v="113"/>
    <x v="4"/>
  </r>
  <r>
    <x v="0"/>
    <x v="6"/>
    <x v="6"/>
    <x v="12"/>
    <x v="12"/>
    <x v="12"/>
    <x v="14"/>
    <x v="104"/>
    <x v="105"/>
    <x v="44"/>
    <x v="113"/>
    <x v="92"/>
    <x v="69"/>
    <x v="4"/>
  </r>
  <r>
    <x v="0"/>
    <x v="6"/>
    <x v="6"/>
    <x v="18"/>
    <x v="18"/>
    <x v="18"/>
    <x v="15"/>
    <x v="105"/>
    <x v="106"/>
    <x v="53"/>
    <x v="114"/>
    <x v="104"/>
    <x v="88"/>
    <x v="4"/>
  </r>
  <r>
    <x v="0"/>
    <x v="6"/>
    <x v="6"/>
    <x v="14"/>
    <x v="14"/>
    <x v="14"/>
    <x v="16"/>
    <x v="106"/>
    <x v="107"/>
    <x v="53"/>
    <x v="114"/>
    <x v="97"/>
    <x v="114"/>
    <x v="4"/>
  </r>
  <r>
    <x v="0"/>
    <x v="6"/>
    <x v="6"/>
    <x v="15"/>
    <x v="15"/>
    <x v="15"/>
    <x v="17"/>
    <x v="107"/>
    <x v="108"/>
    <x v="58"/>
    <x v="112"/>
    <x v="105"/>
    <x v="115"/>
    <x v="4"/>
  </r>
  <r>
    <x v="0"/>
    <x v="6"/>
    <x v="6"/>
    <x v="19"/>
    <x v="19"/>
    <x v="19"/>
    <x v="18"/>
    <x v="108"/>
    <x v="109"/>
    <x v="52"/>
    <x v="51"/>
    <x v="102"/>
    <x v="112"/>
    <x v="4"/>
  </r>
  <r>
    <x v="0"/>
    <x v="6"/>
    <x v="6"/>
    <x v="20"/>
    <x v="20"/>
    <x v="20"/>
    <x v="19"/>
    <x v="109"/>
    <x v="110"/>
    <x v="53"/>
    <x v="114"/>
    <x v="106"/>
    <x v="116"/>
    <x v="4"/>
  </r>
  <r>
    <x v="0"/>
    <x v="6"/>
    <x v="6"/>
    <x v="23"/>
    <x v="23"/>
    <x v="23"/>
    <x v="19"/>
    <x v="109"/>
    <x v="110"/>
    <x v="53"/>
    <x v="114"/>
    <x v="106"/>
    <x v="116"/>
    <x v="4"/>
  </r>
  <r>
    <x v="0"/>
    <x v="6"/>
    <x v="6"/>
    <x v="21"/>
    <x v="21"/>
    <x v="21"/>
    <x v="19"/>
    <x v="109"/>
    <x v="110"/>
    <x v="53"/>
    <x v="114"/>
    <x v="106"/>
    <x v="116"/>
    <x v="4"/>
  </r>
  <r>
    <x v="0"/>
    <x v="7"/>
    <x v="7"/>
    <x v="0"/>
    <x v="0"/>
    <x v="0"/>
    <x v="0"/>
    <x v="74"/>
    <x v="111"/>
    <x v="87"/>
    <x v="115"/>
    <x v="80"/>
    <x v="117"/>
    <x v="4"/>
  </r>
  <r>
    <x v="0"/>
    <x v="7"/>
    <x v="7"/>
    <x v="13"/>
    <x v="13"/>
    <x v="13"/>
    <x v="1"/>
    <x v="110"/>
    <x v="112"/>
    <x v="44"/>
    <x v="116"/>
    <x v="107"/>
    <x v="118"/>
    <x v="4"/>
  </r>
  <r>
    <x v="0"/>
    <x v="7"/>
    <x v="7"/>
    <x v="4"/>
    <x v="4"/>
    <x v="4"/>
    <x v="2"/>
    <x v="54"/>
    <x v="113"/>
    <x v="47"/>
    <x v="117"/>
    <x v="108"/>
    <x v="119"/>
    <x v="4"/>
  </r>
  <r>
    <x v="0"/>
    <x v="7"/>
    <x v="7"/>
    <x v="2"/>
    <x v="2"/>
    <x v="2"/>
    <x v="3"/>
    <x v="98"/>
    <x v="114"/>
    <x v="52"/>
    <x v="51"/>
    <x v="58"/>
    <x v="120"/>
    <x v="1"/>
  </r>
  <r>
    <x v="0"/>
    <x v="7"/>
    <x v="7"/>
    <x v="10"/>
    <x v="10"/>
    <x v="10"/>
    <x v="4"/>
    <x v="79"/>
    <x v="115"/>
    <x v="47"/>
    <x v="117"/>
    <x v="109"/>
    <x v="121"/>
    <x v="1"/>
  </r>
  <r>
    <x v="0"/>
    <x v="7"/>
    <x v="7"/>
    <x v="9"/>
    <x v="9"/>
    <x v="9"/>
    <x v="5"/>
    <x v="111"/>
    <x v="75"/>
    <x v="66"/>
    <x v="118"/>
    <x v="96"/>
    <x v="122"/>
    <x v="1"/>
  </r>
  <r>
    <x v="0"/>
    <x v="7"/>
    <x v="7"/>
    <x v="1"/>
    <x v="1"/>
    <x v="1"/>
    <x v="6"/>
    <x v="80"/>
    <x v="116"/>
    <x v="68"/>
    <x v="119"/>
    <x v="72"/>
    <x v="123"/>
    <x v="4"/>
  </r>
  <r>
    <x v="0"/>
    <x v="7"/>
    <x v="7"/>
    <x v="7"/>
    <x v="7"/>
    <x v="7"/>
    <x v="7"/>
    <x v="112"/>
    <x v="117"/>
    <x v="36"/>
    <x v="120"/>
    <x v="82"/>
    <x v="124"/>
    <x v="4"/>
  </r>
  <r>
    <x v="0"/>
    <x v="7"/>
    <x v="7"/>
    <x v="8"/>
    <x v="8"/>
    <x v="8"/>
    <x v="8"/>
    <x v="66"/>
    <x v="118"/>
    <x v="88"/>
    <x v="121"/>
    <x v="66"/>
    <x v="125"/>
    <x v="4"/>
  </r>
  <r>
    <x v="0"/>
    <x v="7"/>
    <x v="7"/>
    <x v="12"/>
    <x v="12"/>
    <x v="12"/>
    <x v="9"/>
    <x v="113"/>
    <x v="119"/>
    <x v="54"/>
    <x v="122"/>
    <x v="96"/>
    <x v="122"/>
    <x v="4"/>
  </r>
  <r>
    <x v="0"/>
    <x v="7"/>
    <x v="7"/>
    <x v="24"/>
    <x v="24"/>
    <x v="24"/>
    <x v="10"/>
    <x v="95"/>
    <x v="120"/>
    <x v="52"/>
    <x v="51"/>
    <x v="82"/>
    <x v="124"/>
    <x v="4"/>
  </r>
  <r>
    <x v="0"/>
    <x v="7"/>
    <x v="7"/>
    <x v="3"/>
    <x v="3"/>
    <x v="3"/>
    <x v="11"/>
    <x v="114"/>
    <x v="121"/>
    <x v="35"/>
    <x v="123"/>
    <x v="86"/>
    <x v="126"/>
    <x v="4"/>
  </r>
  <r>
    <x v="0"/>
    <x v="7"/>
    <x v="7"/>
    <x v="21"/>
    <x v="21"/>
    <x v="21"/>
    <x v="12"/>
    <x v="115"/>
    <x v="122"/>
    <x v="52"/>
    <x v="51"/>
    <x v="70"/>
    <x v="127"/>
    <x v="4"/>
  </r>
  <r>
    <x v="0"/>
    <x v="7"/>
    <x v="7"/>
    <x v="6"/>
    <x v="6"/>
    <x v="6"/>
    <x v="13"/>
    <x v="68"/>
    <x v="123"/>
    <x v="53"/>
    <x v="124"/>
    <x v="110"/>
    <x v="128"/>
    <x v="4"/>
  </r>
  <r>
    <x v="0"/>
    <x v="7"/>
    <x v="7"/>
    <x v="19"/>
    <x v="19"/>
    <x v="19"/>
    <x v="14"/>
    <x v="116"/>
    <x v="124"/>
    <x v="52"/>
    <x v="51"/>
    <x v="67"/>
    <x v="129"/>
    <x v="4"/>
  </r>
  <r>
    <x v="0"/>
    <x v="7"/>
    <x v="7"/>
    <x v="25"/>
    <x v="25"/>
    <x v="25"/>
    <x v="15"/>
    <x v="117"/>
    <x v="79"/>
    <x v="53"/>
    <x v="124"/>
    <x v="49"/>
    <x v="130"/>
    <x v="4"/>
  </r>
  <r>
    <x v="0"/>
    <x v="7"/>
    <x v="7"/>
    <x v="5"/>
    <x v="5"/>
    <x v="5"/>
    <x v="16"/>
    <x v="104"/>
    <x v="13"/>
    <x v="53"/>
    <x v="124"/>
    <x v="68"/>
    <x v="98"/>
    <x v="4"/>
  </r>
  <r>
    <x v="0"/>
    <x v="7"/>
    <x v="7"/>
    <x v="20"/>
    <x v="20"/>
    <x v="20"/>
    <x v="17"/>
    <x v="118"/>
    <x v="125"/>
    <x v="53"/>
    <x v="124"/>
    <x v="94"/>
    <x v="55"/>
    <x v="4"/>
  </r>
  <r>
    <x v="0"/>
    <x v="7"/>
    <x v="7"/>
    <x v="17"/>
    <x v="17"/>
    <x v="17"/>
    <x v="18"/>
    <x v="106"/>
    <x v="126"/>
    <x v="52"/>
    <x v="51"/>
    <x v="92"/>
    <x v="71"/>
    <x v="4"/>
  </r>
  <r>
    <x v="0"/>
    <x v="7"/>
    <x v="7"/>
    <x v="23"/>
    <x v="23"/>
    <x v="23"/>
    <x v="19"/>
    <x v="119"/>
    <x v="127"/>
    <x v="53"/>
    <x v="124"/>
    <x v="99"/>
    <x v="116"/>
    <x v="4"/>
  </r>
  <r>
    <x v="0"/>
    <x v="7"/>
    <x v="7"/>
    <x v="16"/>
    <x v="16"/>
    <x v="16"/>
    <x v="19"/>
    <x v="119"/>
    <x v="127"/>
    <x v="46"/>
    <x v="125"/>
    <x v="66"/>
    <x v="125"/>
    <x v="4"/>
  </r>
  <r>
    <x v="0"/>
    <x v="8"/>
    <x v="8"/>
    <x v="0"/>
    <x v="0"/>
    <x v="0"/>
    <x v="0"/>
    <x v="120"/>
    <x v="128"/>
    <x v="89"/>
    <x v="126"/>
    <x v="97"/>
    <x v="131"/>
    <x v="4"/>
  </r>
  <r>
    <x v="0"/>
    <x v="8"/>
    <x v="8"/>
    <x v="1"/>
    <x v="1"/>
    <x v="1"/>
    <x v="1"/>
    <x v="44"/>
    <x v="129"/>
    <x v="90"/>
    <x v="127"/>
    <x v="97"/>
    <x v="131"/>
    <x v="4"/>
  </r>
  <r>
    <x v="0"/>
    <x v="8"/>
    <x v="8"/>
    <x v="4"/>
    <x v="4"/>
    <x v="4"/>
    <x v="2"/>
    <x v="121"/>
    <x v="130"/>
    <x v="91"/>
    <x v="128"/>
    <x v="111"/>
    <x v="132"/>
    <x v="4"/>
  </r>
  <r>
    <x v="0"/>
    <x v="8"/>
    <x v="8"/>
    <x v="7"/>
    <x v="7"/>
    <x v="7"/>
    <x v="3"/>
    <x v="122"/>
    <x v="131"/>
    <x v="92"/>
    <x v="129"/>
    <x v="112"/>
    <x v="133"/>
    <x v="4"/>
  </r>
  <r>
    <x v="0"/>
    <x v="8"/>
    <x v="8"/>
    <x v="2"/>
    <x v="2"/>
    <x v="2"/>
    <x v="4"/>
    <x v="123"/>
    <x v="132"/>
    <x v="93"/>
    <x v="130"/>
    <x v="83"/>
    <x v="134"/>
    <x v="4"/>
  </r>
  <r>
    <x v="0"/>
    <x v="8"/>
    <x v="8"/>
    <x v="5"/>
    <x v="5"/>
    <x v="5"/>
    <x v="5"/>
    <x v="124"/>
    <x v="133"/>
    <x v="94"/>
    <x v="131"/>
    <x v="71"/>
    <x v="135"/>
    <x v="4"/>
  </r>
  <r>
    <x v="0"/>
    <x v="8"/>
    <x v="8"/>
    <x v="3"/>
    <x v="3"/>
    <x v="3"/>
    <x v="6"/>
    <x v="125"/>
    <x v="134"/>
    <x v="95"/>
    <x v="132"/>
    <x v="112"/>
    <x v="133"/>
    <x v="4"/>
  </r>
  <r>
    <x v="0"/>
    <x v="8"/>
    <x v="8"/>
    <x v="13"/>
    <x v="13"/>
    <x v="13"/>
    <x v="7"/>
    <x v="97"/>
    <x v="135"/>
    <x v="96"/>
    <x v="133"/>
    <x v="73"/>
    <x v="136"/>
    <x v="4"/>
  </r>
  <r>
    <x v="0"/>
    <x v="8"/>
    <x v="8"/>
    <x v="8"/>
    <x v="8"/>
    <x v="8"/>
    <x v="8"/>
    <x v="126"/>
    <x v="136"/>
    <x v="49"/>
    <x v="134"/>
    <x v="113"/>
    <x v="137"/>
    <x v="4"/>
  </r>
  <r>
    <x v="0"/>
    <x v="8"/>
    <x v="8"/>
    <x v="6"/>
    <x v="6"/>
    <x v="6"/>
    <x v="9"/>
    <x v="127"/>
    <x v="137"/>
    <x v="55"/>
    <x v="112"/>
    <x v="114"/>
    <x v="138"/>
    <x v="4"/>
  </r>
  <r>
    <x v="0"/>
    <x v="8"/>
    <x v="8"/>
    <x v="11"/>
    <x v="11"/>
    <x v="11"/>
    <x v="10"/>
    <x v="111"/>
    <x v="138"/>
    <x v="73"/>
    <x v="135"/>
    <x v="115"/>
    <x v="139"/>
    <x v="4"/>
  </r>
  <r>
    <x v="0"/>
    <x v="8"/>
    <x v="8"/>
    <x v="26"/>
    <x v="26"/>
    <x v="26"/>
    <x v="11"/>
    <x v="128"/>
    <x v="139"/>
    <x v="37"/>
    <x v="136"/>
    <x v="96"/>
    <x v="140"/>
    <x v="4"/>
  </r>
  <r>
    <x v="0"/>
    <x v="8"/>
    <x v="8"/>
    <x v="24"/>
    <x v="24"/>
    <x v="24"/>
    <x v="12"/>
    <x v="129"/>
    <x v="140"/>
    <x v="66"/>
    <x v="107"/>
    <x v="84"/>
    <x v="141"/>
    <x v="4"/>
  </r>
  <r>
    <x v="0"/>
    <x v="8"/>
    <x v="8"/>
    <x v="9"/>
    <x v="9"/>
    <x v="9"/>
    <x v="13"/>
    <x v="93"/>
    <x v="141"/>
    <x v="96"/>
    <x v="133"/>
    <x v="116"/>
    <x v="28"/>
    <x v="4"/>
  </r>
  <r>
    <x v="0"/>
    <x v="8"/>
    <x v="8"/>
    <x v="15"/>
    <x v="15"/>
    <x v="15"/>
    <x v="14"/>
    <x v="66"/>
    <x v="105"/>
    <x v="97"/>
    <x v="137"/>
    <x v="117"/>
    <x v="142"/>
    <x v="4"/>
  </r>
  <r>
    <x v="0"/>
    <x v="8"/>
    <x v="8"/>
    <x v="17"/>
    <x v="17"/>
    <x v="17"/>
    <x v="15"/>
    <x v="94"/>
    <x v="142"/>
    <x v="59"/>
    <x v="138"/>
    <x v="95"/>
    <x v="143"/>
    <x v="4"/>
  </r>
  <r>
    <x v="0"/>
    <x v="8"/>
    <x v="8"/>
    <x v="10"/>
    <x v="10"/>
    <x v="10"/>
    <x v="16"/>
    <x v="115"/>
    <x v="143"/>
    <x v="67"/>
    <x v="139"/>
    <x v="105"/>
    <x v="115"/>
    <x v="4"/>
  </r>
  <r>
    <x v="0"/>
    <x v="8"/>
    <x v="8"/>
    <x v="12"/>
    <x v="12"/>
    <x v="12"/>
    <x v="17"/>
    <x v="104"/>
    <x v="144"/>
    <x v="79"/>
    <x v="140"/>
    <x v="118"/>
    <x v="144"/>
    <x v="4"/>
  </r>
  <r>
    <x v="0"/>
    <x v="8"/>
    <x v="8"/>
    <x v="18"/>
    <x v="18"/>
    <x v="18"/>
    <x v="17"/>
    <x v="104"/>
    <x v="144"/>
    <x v="52"/>
    <x v="51"/>
    <x v="104"/>
    <x v="145"/>
    <x v="4"/>
  </r>
  <r>
    <x v="0"/>
    <x v="8"/>
    <x v="8"/>
    <x v="20"/>
    <x v="20"/>
    <x v="20"/>
    <x v="19"/>
    <x v="118"/>
    <x v="145"/>
    <x v="34"/>
    <x v="141"/>
    <x v="77"/>
    <x v="146"/>
    <x v="4"/>
  </r>
  <r>
    <x v="0"/>
    <x v="9"/>
    <x v="9"/>
    <x v="2"/>
    <x v="2"/>
    <x v="2"/>
    <x v="0"/>
    <x v="130"/>
    <x v="146"/>
    <x v="98"/>
    <x v="142"/>
    <x v="119"/>
    <x v="147"/>
    <x v="1"/>
  </r>
  <r>
    <x v="0"/>
    <x v="9"/>
    <x v="9"/>
    <x v="0"/>
    <x v="0"/>
    <x v="0"/>
    <x v="1"/>
    <x v="131"/>
    <x v="147"/>
    <x v="99"/>
    <x v="143"/>
    <x v="120"/>
    <x v="148"/>
    <x v="1"/>
  </r>
  <r>
    <x v="0"/>
    <x v="9"/>
    <x v="9"/>
    <x v="1"/>
    <x v="1"/>
    <x v="1"/>
    <x v="2"/>
    <x v="132"/>
    <x v="148"/>
    <x v="100"/>
    <x v="144"/>
    <x v="121"/>
    <x v="114"/>
    <x v="4"/>
  </r>
  <r>
    <x v="0"/>
    <x v="9"/>
    <x v="9"/>
    <x v="5"/>
    <x v="5"/>
    <x v="5"/>
    <x v="3"/>
    <x v="133"/>
    <x v="149"/>
    <x v="101"/>
    <x v="25"/>
    <x v="122"/>
    <x v="149"/>
    <x v="4"/>
  </r>
  <r>
    <x v="0"/>
    <x v="9"/>
    <x v="9"/>
    <x v="4"/>
    <x v="4"/>
    <x v="4"/>
    <x v="4"/>
    <x v="134"/>
    <x v="150"/>
    <x v="102"/>
    <x v="145"/>
    <x v="123"/>
    <x v="150"/>
    <x v="4"/>
  </r>
  <r>
    <x v="0"/>
    <x v="9"/>
    <x v="9"/>
    <x v="3"/>
    <x v="3"/>
    <x v="3"/>
    <x v="5"/>
    <x v="135"/>
    <x v="151"/>
    <x v="103"/>
    <x v="146"/>
    <x v="124"/>
    <x v="151"/>
    <x v="4"/>
  </r>
  <r>
    <x v="0"/>
    <x v="9"/>
    <x v="9"/>
    <x v="8"/>
    <x v="8"/>
    <x v="8"/>
    <x v="6"/>
    <x v="136"/>
    <x v="152"/>
    <x v="104"/>
    <x v="147"/>
    <x v="108"/>
    <x v="152"/>
    <x v="4"/>
  </r>
  <r>
    <x v="0"/>
    <x v="9"/>
    <x v="9"/>
    <x v="10"/>
    <x v="10"/>
    <x v="10"/>
    <x v="7"/>
    <x v="137"/>
    <x v="153"/>
    <x v="105"/>
    <x v="148"/>
    <x v="125"/>
    <x v="153"/>
    <x v="4"/>
  </r>
  <r>
    <x v="0"/>
    <x v="9"/>
    <x v="9"/>
    <x v="9"/>
    <x v="9"/>
    <x v="9"/>
    <x v="8"/>
    <x v="138"/>
    <x v="154"/>
    <x v="106"/>
    <x v="149"/>
    <x v="126"/>
    <x v="154"/>
    <x v="4"/>
  </r>
  <r>
    <x v="0"/>
    <x v="9"/>
    <x v="9"/>
    <x v="7"/>
    <x v="7"/>
    <x v="7"/>
    <x v="9"/>
    <x v="139"/>
    <x v="155"/>
    <x v="107"/>
    <x v="150"/>
    <x v="28"/>
    <x v="155"/>
    <x v="4"/>
  </r>
  <r>
    <x v="0"/>
    <x v="9"/>
    <x v="9"/>
    <x v="6"/>
    <x v="6"/>
    <x v="6"/>
    <x v="10"/>
    <x v="140"/>
    <x v="156"/>
    <x v="79"/>
    <x v="151"/>
    <x v="127"/>
    <x v="73"/>
    <x v="4"/>
  </r>
  <r>
    <x v="0"/>
    <x v="9"/>
    <x v="9"/>
    <x v="13"/>
    <x v="13"/>
    <x v="13"/>
    <x v="11"/>
    <x v="141"/>
    <x v="157"/>
    <x v="108"/>
    <x v="152"/>
    <x v="128"/>
    <x v="146"/>
    <x v="4"/>
  </r>
  <r>
    <x v="0"/>
    <x v="9"/>
    <x v="9"/>
    <x v="11"/>
    <x v="11"/>
    <x v="11"/>
    <x v="12"/>
    <x v="142"/>
    <x v="31"/>
    <x v="109"/>
    <x v="153"/>
    <x v="126"/>
    <x v="154"/>
    <x v="4"/>
  </r>
  <r>
    <x v="0"/>
    <x v="9"/>
    <x v="9"/>
    <x v="14"/>
    <x v="14"/>
    <x v="14"/>
    <x v="13"/>
    <x v="143"/>
    <x v="158"/>
    <x v="44"/>
    <x v="154"/>
    <x v="129"/>
    <x v="156"/>
    <x v="4"/>
  </r>
  <r>
    <x v="0"/>
    <x v="9"/>
    <x v="9"/>
    <x v="12"/>
    <x v="12"/>
    <x v="12"/>
    <x v="14"/>
    <x v="144"/>
    <x v="159"/>
    <x v="74"/>
    <x v="155"/>
    <x v="50"/>
    <x v="157"/>
    <x v="4"/>
  </r>
  <r>
    <x v="0"/>
    <x v="9"/>
    <x v="9"/>
    <x v="18"/>
    <x v="18"/>
    <x v="18"/>
    <x v="15"/>
    <x v="73"/>
    <x v="160"/>
    <x v="52"/>
    <x v="51"/>
    <x v="130"/>
    <x v="158"/>
    <x v="4"/>
  </r>
  <r>
    <x v="0"/>
    <x v="9"/>
    <x v="9"/>
    <x v="20"/>
    <x v="20"/>
    <x v="20"/>
    <x v="16"/>
    <x v="52"/>
    <x v="161"/>
    <x v="34"/>
    <x v="114"/>
    <x v="131"/>
    <x v="38"/>
    <x v="4"/>
  </r>
  <r>
    <x v="0"/>
    <x v="9"/>
    <x v="9"/>
    <x v="17"/>
    <x v="17"/>
    <x v="17"/>
    <x v="17"/>
    <x v="145"/>
    <x v="162"/>
    <x v="36"/>
    <x v="156"/>
    <x v="132"/>
    <x v="159"/>
    <x v="4"/>
  </r>
  <r>
    <x v="0"/>
    <x v="9"/>
    <x v="9"/>
    <x v="21"/>
    <x v="21"/>
    <x v="21"/>
    <x v="18"/>
    <x v="60"/>
    <x v="18"/>
    <x v="46"/>
    <x v="157"/>
    <x v="133"/>
    <x v="160"/>
    <x v="4"/>
  </r>
  <r>
    <x v="0"/>
    <x v="9"/>
    <x v="9"/>
    <x v="19"/>
    <x v="19"/>
    <x v="19"/>
    <x v="19"/>
    <x v="146"/>
    <x v="163"/>
    <x v="46"/>
    <x v="157"/>
    <x v="78"/>
    <x v="50"/>
    <x v="4"/>
  </r>
  <r>
    <x v="0"/>
    <x v="10"/>
    <x v="10"/>
    <x v="0"/>
    <x v="0"/>
    <x v="0"/>
    <x v="0"/>
    <x v="147"/>
    <x v="164"/>
    <x v="110"/>
    <x v="158"/>
    <x v="134"/>
    <x v="161"/>
    <x v="1"/>
  </r>
  <r>
    <x v="0"/>
    <x v="10"/>
    <x v="10"/>
    <x v="1"/>
    <x v="1"/>
    <x v="1"/>
    <x v="1"/>
    <x v="148"/>
    <x v="165"/>
    <x v="111"/>
    <x v="159"/>
    <x v="135"/>
    <x v="162"/>
    <x v="4"/>
  </r>
  <r>
    <x v="0"/>
    <x v="10"/>
    <x v="10"/>
    <x v="2"/>
    <x v="2"/>
    <x v="2"/>
    <x v="2"/>
    <x v="149"/>
    <x v="166"/>
    <x v="112"/>
    <x v="160"/>
    <x v="136"/>
    <x v="163"/>
    <x v="7"/>
  </r>
  <r>
    <x v="0"/>
    <x v="10"/>
    <x v="10"/>
    <x v="8"/>
    <x v="8"/>
    <x v="8"/>
    <x v="3"/>
    <x v="150"/>
    <x v="167"/>
    <x v="113"/>
    <x v="161"/>
    <x v="128"/>
    <x v="164"/>
    <x v="4"/>
  </r>
  <r>
    <x v="0"/>
    <x v="10"/>
    <x v="10"/>
    <x v="5"/>
    <x v="5"/>
    <x v="5"/>
    <x v="4"/>
    <x v="151"/>
    <x v="168"/>
    <x v="114"/>
    <x v="162"/>
    <x v="137"/>
    <x v="165"/>
    <x v="4"/>
  </r>
  <r>
    <x v="0"/>
    <x v="10"/>
    <x v="10"/>
    <x v="3"/>
    <x v="3"/>
    <x v="3"/>
    <x v="5"/>
    <x v="152"/>
    <x v="169"/>
    <x v="26"/>
    <x v="163"/>
    <x v="138"/>
    <x v="166"/>
    <x v="4"/>
  </r>
  <r>
    <x v="0"/>
    <x v="10"/>
    <x v="10"/>
    <x v="4"/>
    <x v="4"/>
    <x v="4"/>
    <x v="6"/>
    <x v="153"/>
    <x v="170"/>
    <x v="115"/>
    <x v="164"/>
    <x v="139"/>
    <x v="167"/>
    <x v="4"/>
  </r>
  <r>
    <x v="0"/>
    <x v="10"/>
    <x v="10"/>
    <x v="9"/>
    <x v="9"/>
    <x v="9"/>
    <x v="7"/>
    <x v="154"/>
    <x v="171"/>
    <x v="116"/>
    <x v="165"/>
    <x v="140"/>
    <x v="168"/>
    <x v="1"/>
  </r>
  <r>
    <x v="0"/>
    <x v="10"/>
    <x v="10"/>
    <x v="10"/>
    <x v="10"/>
    <x v="10"/>
    <x v="8"/>
    <x v="134"/>
    <x v="117"/>
    <x v="117"/>
    <x v="166"/>
    <x v="141"/>
    <x v="22"/>
    <x v="4"/>
  </r>
  <r>
    <x v="0"/>
    <x v="10"/>
    <x v="10"/>
    <x v="6"/>
    <x v="6"/>
    <x v="6"/>
    <x v="9"/>
    <x v="155"/>
    <x v="172"/>
    <x v="75"/>
    <x v="23"/>
    <x v="142"/>
    <x v="169"/>
    <x v="4"/>
  </r>
  <r>
    <x v="0"/>
    <x v="10"/>
    <x v="10"/>
    <x v="7"/>
    <x v="7"/>
    <x v="7"/>
    <x v="10"/>
    <x v="156"/>
    <x v="173"/>
    <x v="118"/>
    <x v="167"/>
    <x v="62"/>
    <x v="170"/>
    <x v="4"/>
  </r>
  <r>
    <x v="0"/>
    <x v="10"/>
    <x v="10"/>
    <x v="12"/>
    <x v="12"/>
    <x v="12"/>
    <x v="11"/>
    <x v="157"/>
    <x v="174"/>
    <x v="119"/>
    <x v="168"/>
    <x v="143"/>
    <x v="171"/>
    <x v="4"/>
  </r>
  <r>
    <x v="0"/>
    <x v="10"/>
    <x v="10"/>
    <x v="11"/>
    <x v="11"/>
    <x v="11"/>
    <x v="12"/>
    <x v="158"/>
    <x v="175"/>
    <x v="120"/>
    <x v="169"/>
    <x v="144"/>
    <x v="114"/>
    <x v="4"/>
  </r>
  <r>
    <x v="0"/>
    <x v="10"/>
    <x v="10"/>
    <x v="13"/>
    <x v="13"/>
    <x v="13"/>
    <x v="13"/>
    <x v="159"/>
    <x v="176"/>
    <x v="121"/>
    <x v="170"/>
    <x v="145"/>
    <x v="10"/>
    <x v="4"/>
  </r>
  <r>
    <x v="0"/>
    <x v="10"/>
    <x v="10"/>
    <x v="14"/>
    <x v="14"/>
    <x v="14"/>
    <x v="14"/>
    <x v="160"/>
    <x v="177"/>
    <x v="35"/>
    <x v="171"/>
    <x v="143"/>
    <x v="171"/>
    <x v="1"/>
  </r>
  <r>
    <x v="0"/>
    <x v="10"/>
    <x v="10"/>
    <x v="16"/>
    <x v="16"/>
    <x v="16"/>
    <x v="15"/>
    <x v="161"/>
    <x v="125"/>
    <x v="122"/>
    <x v="146"/>
    <x v="111"/>
    <x v="172"/>
    <x v="1"/>
  </r>
  <r>
    <x v="0"/>
    <x v="10"/>
    <x v="10"/>
    <x v="24"/>
    <x v="24"/>
    <x v="24"/>
    <x v="16"/>
    <x v="58"/>
    <x v="178"/>
    <x v="86"/>
    <x v="172"/>
    <x v="146"/>
    <x v="92"/>
    <x v="4"/>
  </r>
  <r>
    <x v="0"/>
    <x v="10"/>
    <x v="10"/>
    <x v="21"/>
    <x v="21"/>
    <x v="21"/>
    <x v="17"/>
    <x v="162"/>
    <x v="16"/>
    <x v="36"/>
    <x v="66"/>
    <x v="147"/>
    <x v="19"/>
    <x v="4"/>
  </r>
  <r>
    <x v="0"/>
    <x v="10"/>
    <x v="10"/>
    <x v="19"/>
    <x v="19"/>
    <x v="19"/>
    <x v="18"/>
    <x v="51"/>
    <x v="108"/>
    <x v="34"/>
    <x v="157"/>
    <x v="148"/>
    <x v="173"/>
    <x v="4"/>
  </r>
  <r>
    <x v="0"/>
    <x v="10"/>
    <x v="10"/>
    <x v="20"/>
    <x v="20"/>
    <x v="20"/>
    <x v="19"/>
    <x v="74"/>
    <x v="179"/>
    <x v="81"/>
    <x v="69"/>
    <x v="126"/>
    <x v="174"/>
    <x v="4"/>
  </r>
  <r>
    <x v="0"/>
    <x v="11"/>
    <x v="11"/>
    <x v="1"/>
    <x v="1"/>
    <x v="1"/>
    <x v="0"/>
    <x v="163"/>
    <x v="180"/>
    <x v="123"/>
    <x v="173"/>
    <x v="86"/>
    <x v="175"/>
    <x v="4"/>
  </r>
  <r>
    <x v="0"/>
    <x v="11"/>
    <x v="11"/>
    <x v="0"/>
    <x v="0"/>
    <x v="0"/>
    <x v="1"/>
    <x v="164"/>
    <x v="181"/>
    <x v="124"/>
    <x v="174"/>
    <x v="102"/>
    <x v="33"/>
    <x v="4"/>
  </r>
  <r>
    <x v="0"/>
    <x v="11"/>
    <x v="11"/>
    <x v="4"/>
    <x v="4"/>
    <x v="4"/>
    <x v="2"/>
    <x v="165"/>
    <x v="182"/>
    <x v="109"/>
    <x v="175"/>
    <x v="149"/>
    <x v="176"/>
    <x v="4"/>
  </r>
  <r>
    <x v="0"/>
    <x v="11"/>
    <x v="11"/>
    <x v="3"/>
    <x v="3"/>
    <x v="3"/>
    <x v="3"/>
    <x v="166"/>
    <x v="3"/>
    <x v="121"/>
    <x v="176"/>
    <x v="69"/>
    <x v="177"/>
    <x v="4"/>
  </r>
  <r>
    <x v="0"/>
    <x v="11"/>
    <x v="11"/>
    <x v="7"/>
    <x v="7"/>
    <x v="7"/>
    <x v="4"/>
    <x v="167"/>
    <x v="183"/>
    <x v="94"/>
    <x v="177"/>
    <x v="49"/>
    <x v="178"/>
    <x v="4"/>
  </r>
  <r>
    <x v="0"/>
    <x v="11"/>
    <x v="11"/>
    <x v="9"/>
    <x v="9"/>
    <x v="9"/>
    <x v="5"/>
    <x v="77"/>
    <x v="184"/>
    <x v="125"/>
    <x v="178"/>
    <x v="66"/>
    <x v="179"/>
    <x v="4"/>
  </r>
  <r>
    <x v="0"/>
    <x v="11"/>
    <x v="11"/>
    <x v="2"/>
    <x v="2"/>
    <x v="2"/>
    <x v="6"/>
    <x v="168"/>
    <x v="185"/>
    <x v="23"/>
    <x v="179"/>
    <x v="74"/>
    <x v="180"/>
    <x v="4"/>
  </r>
  <r>
    <x v="0"/>
    <x v="11"/>
    <x v="11"/>
    <x v="5"/>
    <x v="5"/>
    <x v="5"/>
    <x v="7"/>
    <x v="65"/>
    <x v="186"/>
    <x v="103"/>
    <x v="180"/>
    <x v="49"/>
    <x v="178"/>
    <x v="4"/>
  </r>
  <r>
    <x v="0"/>
    <x v="11"/>
    <x v="11"/>
    <x v="27"/>
    <x v="27"/>
    <x v="27"/>
    <x v="8"/>
    <x v="128"/>
    <x v="187"/>
    <x v="122"/>
    <x v="181"/>
    <x v="99"/>
    <x v="11"/>
    <x v="4"/>
  </r>
  <r>
    <x v="0"/>
    <x v="11"/>
    <x v="11"/>
    <x v="8"/>
    <x v="8"/>
    <x v="8"/>
    <x v="9"/>
    <x v="92"/>
    <x v="136"/>
    <x v="65"/>
    <x v="182"/>
    <x v="118"/>
    <x v="181"/>
    <x v="4"/>
  </r>
  <r>
    <x v="0"/>
    <x v="11"/>
    <x v="11"/>
    <x v="6"/>
    <x v="6"/>
    <x v="6"/>
    <x v="10"/>
    <x v="100"/>
    <x v="188"/>
    <x v="47"/>
    <x v="25"/>
    <x v="74"/>
    <x v="180"/>
    <x v="4"/>
  </r>
  <r>
    <x v="0"/>
    <x v="11"/>
    <x v="11"/>
    <x v="11"/>
    <x v="11"/>
    <x v="11"/>
    <x v="10"/>
    <x v="100"/>
    <x v="188"/>
    <x v="51"/>
    <x v="183"/>
    <x v="104"/>
    <x v="182"/>
    <x v="4"/>
  </r>
  <r>
    <x v="0"/>
    <x v="11"/>
    <x v="11"/>
    <x v="13"/>
    <x v="13"/>
    <x v="13"/>
    <x v="12"/>
    <x v="83"/>
    <x v="189"/>
    <x v="47"/>
    <x v="25"/>
    <x v="92"/>
    <x v="183"/>
    <x v="4"/>
  </r>
  <r>
    <x v="0"/>
    <x v="11"/>
    <x v="11"/>
    <x v="10"/>
    <x v="10"/>
    <x v="10"/>
    <x v="13"/>
    <x v="69"/>
    <x v="142"/>
    <x v="18"/>
    <x v="184"/>
    <x v="105"/>
    <x v="184"/>
    <x v="4"/>
  </r>
  <r>
    <x v="0"/>
    <x v="11"/>
    <x v="11"/>
    <x v="14"/>
    <x v="14"/>
    <x v="14"/>
    <x v="14"/>
    <x v="116"/>
    <x v="190"/>
    <x v="35"/>
    <x v="185"/>
    <x v="93"/>
    <x v="185"/>
    <x v="4"/>
  </r>
  <r>
    <x v="0"/>
    <x v="11"/>
    <x v="11"/>
    <x v="15"/>
    <x v="15"/>
    <x v="15"/>
    <x v="15"/>
    <x v="103"/>
    <x v="191"/>
    <x v="37"/>
    <x v="12"/>
    <x v="106"/>
    <x v="160"/>
    <x v="4"/>
  </r>
  <r>
    <x v="0"/>
    <x v="11"/>
    <x v="11"/>
    <x v="24"/>
    <x v="24"/>
    <x v="24"/>
    <x v="16"/>
    <x v="118"/>
    <x v="192"/>
    <x v="34"/>
    <x v="186"/>
    <x v="77"/>
    <x v="130"/>
    <x v="4"/>
  </r>
  <r>
    <x v="0"/>
    <x v="11"/>
    <x v="11"/>
    <x v="12"/>
    <x v="12"/>
    <x v="12"/>
    <x v="17"/>
    <x v="106"/>
    <x v="193"/>
    <x v="61"/>
    <x v="187"/>
    <x v="150"/>
    <x v="50"/>
    <x v="4"/>
  </r>
  <r>
    <x v="0"/>
    <x v="11"/>
    <x v="11"/>
    <x v="18"/>
    <x v="18"/>
    <x v="18"/>
    <x v="17"/>
    <x v="106"/>
    <x v="193"/>
    <x v="52"/>
    <x v="51"/>
    <x v="92"/>
    <x v="183"/>
    <x v="4"/>
  </r>
  <r>
    <x v="0"/>
    <x v="11"/>
    <x v="11"/>
    <x v="28"/>
    <x v="28"/>
    <x v="28"/>
    <x v="19"/>
    <x v="169"/>
    <x v="194"/>
    <x v="38"/>
    <x v="188"/>
    <x v="151"/>
    <x v="115"/>
    <x v="4"/>
  </r>
  <r>
    <x v="0"/>
    <x v="12"/>
    <x v="12"/>
    <x v="1"/>
    <x v="1"/>
    <x v="1"/>
    <x v="0"/>
    <x v="170"/>
    <x v="195"/>
    <x v="98"/>
    <x v="189"/>
    <x v="152"/>
    <x v="31"/>
    <x v="4"/>
  </r>
  <r>
    <x v="0"/>
    <x v="12"/>
    <x v="12"/>
    <x v="0"/>
    <x v="0"/>
    <x v="0"/>
    <x v="1"/>
    <x v="171"/>
    <x v="196"/>
    <x v="126"/>
    <x v="190"/>
    <x v="76"/>
    <x v="186"/>
    <x v="4"/>
  </r>
  <r>
    <x v="0"/>
    <x v="12"/>
    <x v="12"/>
    <x v="4"/>
    <x v="4"/>
    <x v="4"/>
    <x v="2"/>
    <x v="172"/>
    <x v="197"/>
    <x v="33"/>
    <x v="145"/>
    <x v="153"/>
    <x v="187"/>
    <x v="4"/>
  </r>
  <r>
    <x v="0"/>
    <x v="12"/>
    <x v="12"/>
    <x v="3"/>
    <x v="3"/>
    <x v="3"/>
    <x v="3"/>
    <x v="173"/>
    <x v="198"/>
    <x v="67"/>
    <x v="64"/>
    <x v="154"/>
    <x v="21"/>
    <x v="4"/>
  </r>
  <r>
    <x v="0"/>
    <x v="12"/>
    <x v="12"/>
    <x v="5"/>
    <x v="5"/>
    <x v="5"/>
    <x v="4"/>
    <x v="142"/>
    <x v="199"/>
    <x v="73"/>
    <x v="191"/>
    <x v="155"/>
    <x v="188"/>
    <x v="4"/>
  </r>
  <r>
    <x v="0"/>
    <x v="12"/>
    <x v="12"/>
    <x v="6"/>
    <x v="6"/>
    <x v="6"/>
    <x v="5"/>
    <x v="174"/>
    <x v="200"/>
    <x v="68"/>
    <x v="107"/>
    <x v="156"/>
    <x v="189"/>
    <x v="4"/>
  </r>
  <r>
    <x v="0"/>
    <x v="12"/>
    <x v="12"/>
    <x v="13"/>
    <x v="13"/>
    <x v="13"/>
    <x v="6"/>
    <x v="175"/>
    <x v="201"/>
    <x v="127"/>
    <x v="192"/>
    <x v="79"/>
    <x v="190"/>
    <x v="4"/>
  </r>
  <r>
    <x v="0"/>
    <x v="12"/>
    <x v="12"/>
    <x v="2"/>
    <x v="2"/>
    <x v="2"/>
    <x v="7"/>
    <x v="162"/>
    <x v="202"/>
    <x v="79"/>
    <x v="193"/>
    <x v="79"/>
    <x v="190"/>
    <x v="4"/>
  </r>
  <r>
    <x v="0"/>
    <x v="12"/>
    <x v="12"/>
    <x v="7"/>
    <x v="7"/>
    <x v="7"/>
    <x v="8"/>
    <x v="60"/>
    <x v="203"/>
    <x v="128"/>
    <x v="150"/>
    <x v="67"/>
    <x v="191"/>
    <x v="4"/>
  </r>
  <r>
    <x v="0"/>
    <x v="12"/>
    <x v="12"/>
    <x v="8"/>
    <x v="8"/>
    <x v="8"/>
    <x v="9"/>
    <x v="167"/>
    <x v="204"/>
    <x v="14"/>
    <x v="194"/>
    <x v="106"/>
    <x v="192"/>
    <x v="4"/>
  </r>
  <r>
    <x v="0"/>
    <x v="12"/>
    <x v="12"/>
    <x v="9"/>
    <x v="9"/>
    <x v="9"/>
    <x v="10"/>
    <x v="176"/>
    <x v="120"/>
    <x v="87"/>
    <x v="195"/>
    <x v="68"/>
    <x v="193"/>
    <x v="4"/>
  </r>
  <r>
    <x v="0"/>
    <x v="12"/>
    <x v="12"/>
    <x v="10"/>
    <x v="10"/>
    <x v="10"/>
    <x v="11"/>
    <x v="177"/>
    <x v="205"/>
    <x v="84"/>
    <x v="196"/>
    <x v="70"/>
    <x v="194"/>
    <x v="4"/>
  </r>
  <r>
    <x v="0"/>
    <x v="12"/>
    <x v="12"/>
    <x v="11"/>
    <x v="11"/>
    <x v="11"/>
    <x v="12"/>
    <x v="146"/>
    <x v="206"/>
    <x v="45"/>
    <x v="15"/>
    <x v="51"/>
    <x v="195"/>
    <x v="4"/>
  </r>
  <r>
    <x v="0"/>
    <x v="12"/>
    <x v="12"/>
    <x v="14"/>
    <x v="14"/>
    <x v="14"/>
    <x v="13"/>
    <x v="65"/>
    <x v="207"/>
    <x v="53"/>
    <x v="197"/>
    <x v="51"/>
    <x v="195"/>
    <x v="4"/>
  </r>
  <r>
    <x v="0"/>
    <x v="12"/>
    <x v="12"/>
    <x v="12"/>
    <x v="12"/>
    <x v="12"/>
    <x v="13"/>
    <x v="65"/>
    <x v="207"/>
    <x v="37"/>
    <x v="198"/>
    <x v="114"/>
    <x v="102"/>
    <x v="4"/>
  </r>
  <r>
    <x v="0"/>
    <x v="12"/>
    <x v="12"/>
    <x v="18"/>
    <x v="18"/>
    <x v="18"/>
    <x v="15"/>
    <x v="178"/>
    <x v="208"/>
    <x v="46"/>
    <x v="80"/>
    <x v="157"/>
    <x v="82"/>
    <x v="4"/>
  </r>
  <r>
    <x v="0"/>
    <x v="12"/>
    <x v="12"/>
    <x v="17"/>
    <x v="17"/>
    <x v="17"/>
    <x v="16"/>
    <x v="94"/>
    <x v="94"/>
    <x v="53"/>
    <x v="197"/>
    <x v="71"/>
    <x v="196"/>
    <x v="4"/>
  </r>
  <r>
    <x v="0"/>
    <x v="12"/>
    <x v="12"/>
    <x v="15"/>
    <x v="15"/>
    <x v="15"/>
    <x v="17"/>
    <x v="113"/>
    <x v="162"/>
    <x v="129"/>
    <x v="199"/>
    <x v="102"/>
    <x v="197"/>
    <x v="4"/>
  </r>
  <r>
    <x v="0"/>
    <x v="12"/>
    <x v="12"/>
    <x v="19"/>
    <x v="19"/>
    <x v="19"/>
    <x v="18"/>
    <x v="67"/>
    <x v="209"/>
    <x v="52"/>
    <x v="51"/>
    <x v="73"/>
    <x v="29"/>
    <x v="4"/>
  </r>
  <r>
    <x v="0"/>
    <x v="12"/>
    <x v="12"/>
    <x v="20"/>
    <x v="20"/>
    <x v="20"/>
    <x v="19"/>
    <x v="114"/>
    <x v="144"/>
    <x v="44"/>
    <x v="200"/>
    <x v="110"/>
    <x v="198"/>
    <x v="4"/>
  </r>
  <r>
    <x v="0"/>
    <x v="13"/>
    <x v="13"/>
    <x v="0"/>
    <x v="0"/>
    <x v="0"/>
    <x v="0"/>
    <x v="179"/>
    <x v="210"/>
    <x v="130"/>
    <x v="201"/>
    <x v="158"/>
    <x v="96"/>
    <x v="4"/>
  </r>
  <r>
    <x v="0"/>
    <x v="13"/>
    <x v="13"/>
    <x v="1"/>
    <x v="1"/>
    <x v="1"/>
    <x v="1"/>
    <x v="180"/>
    <x v="211"/>
    <x v="131"/>
    <x v="202"/>
    <x v="144"/>
    <x v="199"/>
    <x v="4"/>
  </r>
  <r>
    <x v="0"/>
    <x v="13"/>
    <x v="13"/>
    <x v="2"/>
    <x v="2"/>
    <x v="2"/>
    <x v="2"/>
    <x v="181"/>
    <x v="212"/>
    <x v="132"/>
    <x v="203"/>
    <x v="159"/>
    <x v="200"/>
    <x v="7"/>
  </r>
  <r>
    <x v="0"/>
    <x v="13"/>
    <x v="13"/>
    <x v="5"/>
    <x v="5"/>
    <x v="5"/>
    <x v="3"/>
    <x v="182"/>
    <x v="213"/>
    <x v="108"/>
    <x v="204"/>
    <x v="160"/>
    <x v="201"/>
    <x v="4"/>
  </r>
  <r>
    <x v="0"/>
    <x v="13"/>
    <x v="13"/>
    <x v="4"/>
    <x v="4"/>
    <x v="4"/>
    <x v="4"/>
    <x v="183"/>
    <x v="214"/>
    <x v="118"/>
    <x v="205"/>
    <x v="161"/>
    <x v="202"/>
    <x v="4"/>
  </r>
  <r>
    <x v="0"/>
    <x v="13"/>
    <x v="13"/>
    <x v="3"/>
    <x v="3"/>
    <x v="3"/>
    <x v="5"/>
    <x v="184"/>
    <x v="170"/>
    <x v="133"/>
    <x v="122"/>
    <x v="162"/>
    <x v="203"/>
    <x v="4"/>
  </r>
  <r>
    <x v="0"/>
    <x v="13"/>
    <x v="13"/>
    <x v="8"/>
    <x v="8"/>
    <x v="8"/>
    <x v="6"/>
    <x v="185"/>
    <x v="215"/>
    <x v="134"/>
    <x v="206"/>
    <x v="163"/>
    <x v="204"/>
    <x v="4"/>
  </r>
  <r>
    <x v="0"/>
    <x v="13"/>
    <x v="13"/>
    <x v="9"/>
    <x v="9"/>
    <x v="9"/>
    <x v="7"/>
    <x v="186"/>
    <x v="216"/>
    <x v="135"/>
    <x v="207"/>
    <x v="164"/>
    <x v="92"/>
    <x v="4"/>
  </r>
  <r>
    <x v="0"/>
    <x v="13"/>
    <x v="13"/>
    <x v="7"/>
    <x v="7"/>
    <x v="7"/>
    <x v="8"/>
    <x v="187"/>
    <x v="217"/>
    <x v="136"/>
    <x v="208"/>
    <x v="165"/>
    <x v="168"/>
    <x v="4"/>
  </r>
  <r>
    <x v="0"/>
    <x v="13"/>
    <x v="13"/>
    <x v="6"/>
    <x v="6"/>
    <x v="6"/>
    <x v="9"/>
    <x v="188"/>
    <x v="218"/>
    <x v="59"/>
    <x v="75"/>
    <x v="166"/>
    <x v="205"/>
    <x v="4"/>
  </r>
  <r>
    <x v="0"/>
    <x v="13"/>
    <x v="13"/>
    <x v="10"/>
    <x v="10"/>
    <x v="10"/>
    <x v="10"/>
    <x v="189"/>
    <x v="172"/>
    <x v="137"/>
    <x v="209"/>
    <x v="167"/>
    <x v="83"/>
    <x v="4"/>
  </r>
  <r>
    <x v="0"/>
    <x v="13"/>
    <x v="13"/>
    <x v="14"/>
    <x v="14"/>
    <x v="14"/>
    <x v="11"/>
    <x v="190"/>
    <x v="219"/>
    <x v="61"/>
    <x v="185"/>
    <x v="168"/>
    <x v="206"/>
    <x v="4"/>
  </r>
  <r>
    <x v="0"/>
    <x v="13"/>
    <x v="13"/>
    <x v="11"/>
    <x v="11"/>
    <x v="11"/>
    <x v="12"/>
    <x v="191"/>
    <x v="176"/>
    <x v="94"/>
    <x v="210"/>
    <x v="148"/>
    <x v="29"/>
    <x v="4"/>
  </r>
  <r>
    <x v="0"/>
    <x v="13"/>
    <x v="13"/>
    <x v="12"/>
    <x v="12"/>
    <x v="12"/>
    <x v="13"/>
    <x v="87"/>
    <x v="220"/>
    <x v="64"/>
    <x v="211"/>
    <x v="169"/>
    <x v="207"/>
    <x v="1"/>
  </r>
  <r>
    <x v="0"/>
    <x v="13"/>
    <x v="13"/>
    <x v="13"/>
    <x v="13"/>
    <x v="13"/>
    <x v="14"/>
    <x v="142"/>
    <x v="33"/>
    <x v="138"/>
    <x v="212"/>
    <x v="128"/>
    <x v="158"/>
    <x v="4"/>
  </r>
  <r>
    <x v="0"/>
    <x v="13"/>
    <x v="13"/>
    <x v="16"/>
    <x v="16"/>
    <x v="16"/>
    <x v="15"/>
    <x v="192"/>
    <x v="14"/>
    <x v="101"/>
    <x v="213"/>
    <x v="128"/>
    <x v="158"/>
    <x v="1"/>
  </r>
  <r>
    <x v="0"/>
    <x v="13"/>
    <x v="13"/>
    <x v="20"/>
    <x v="20"/>
    <x v="20"/>
    <x v="16"/>
    <x v="193"/>
    <x v="221"/>
    <x v="61"/>
    <x v="185"/>
    <x v="41"/>
    <x v="208"/>
    <x v="4"/>
  </r>
  <r>
    <x v="0"/>
    <x v="13"/>
    <x v="13"/>
    <x v="18"/>
    <x v="18"/>
    <x v="18"/>
    <x v="17"/>
    <x v="51"/>
    <x v="161"/>
    <x v="54"/>
    <x v="35"/>
    <x v="170"/>
    <x v="209"/>
    <x v="4"/>
  </r>
  <r>
    <x v="0"/>
    <x v="13"/>
    <x v="13"/>
    <x v="21"/>
    <x v="21"/>
    <x v="21"/>
    <x v="18"/>
    <x v="74"/>
    <x v="18"/>
    <x v="44"/>
    <x v="67"/>
    <x v="148"/>
    <x v="29"/>
    <x v="4"/>
  </r>
  <r>
    <x v="0"/>
    <x v="13"/>
    <x v="13"/>
    <x v="19"/>
    <x v="19"/>
    <x v="19"/>
    <x v="19"/>
    <x v="194"/>
    <x v="108"/>
    <x v="46"/>
    <x v="19"/>
    <x v="43"/>
    <x v="64"/>
    <x v="4"/>
  </r>
  <r>
    <x v="0"/>
    <x v="14"/>
    <x v="14"/>
    <x v="0"/>
    <x v="0"/>
    <x v="0"/>
    <x v="0"/>
    <x v="195"/>
    <x v="222"/>
    <x v="139"/>
    <x v="214"/>
    <x v="86"/>
    <x v="173"/>
    <x v="4"/>
  </r>
  <r>
    <x v="0"/>
    <x v="14"/>
    <x v="14"/>
    <x v="1"/>
    <x v="1"/>
    <x v="1"/>
    <x v="1"/>
    <x v="196"/>
    <x v="223"/>
    <x v="140"/>
    <x v="215"/>
    <x v="67"/>
    <x v="50"/>
    <x v="4"/>
  </r>
  <r>
    <x v="0"/>
    <x v="14"/>
    <x v="14"/>
    <x v="3"/>
    <x v="3"/>
    <x v="3"/>
    <x v="2"/>
    <x v="197"/>
    <x v="224"/>
    <x v="62"/>
    <x v="216"/>
    <x v="171"/>
    <x v="210"/>
    <x v="4"/>
  </r>
  <r>
    <x v="0"/>
    <x v="14"/>
    <x v="14"/>
    <x v="5"/>
    <x v="5"/>
    <x v="5"/>
    <x v="3"/>
    <x v="121"/>
    <x v="225"/>
    <x v="141"/>
    <x v="217"/>
    <x v="172"/>
    <x v="211"/>
    <x v="4"/>
  </r>
  <r>
    <x v="0"/>
    <x v="14"/>
    <x v="14"/>
    <x v="2"/>
    <x v="2"/>
    <x v="2"/>
    <x v="4"/>
    <x v="160"/>
    <x v="226"/>
    <x v="142"/>
    <x v="218"/>
    <x v="170"/>
    <x v="151"/>
    <x v="4"/>
  </r>
  <r>
    <x v="0"/>
    <x v="14"/>
    <x v="14"/>
    <x v="4"/>
    <x v="4"/>
    <x v="4"/>
    <x v="5"/>
    <x v="141"/>
    <x v="227"/>
    <x v="49"/>
    <x v="219"/>
    <x v="173"/>
    <x v="212"/>
    <x v="1"/>
  </r>
  <r>
    <x v="0"/>
    <x v="14"/>
    <x v="14"/>
    <x v="11"/>
    <x v="11"/>
    <x v="11"/>
    <x v="6"/>
    <x v="162"/>
    <x v="228"/>
    <x v="64"/>
    <x v="220"/>
    <x v="111"/>
    <x v="213"/>
    <x v="4"/>
  </r>
  <r>
    <x v="0"/>
    <x v="14"/>
    <x v="14"/>
    <x v="6"/>
    <x v="6"/>
    <x v="6"/>
    <x v="7"/>
    <x v="75"/>
    <x v="153"/>
    <x v="68"/>
    <x v="146"/>
    <x v="131"/>
    <x v="214"/>
    <x v="4"/>
  </r>
  <r>
    <x v="0"/>
    <x v="14"/>
    <x v="14"/>
    <x v="7"/>
    <x v="7"/>
    <x v="7"/>
    <x v="8"/>
    <x v="61"/>
    <x v="173"/>
    <x v="138"/>
    <x v="131"/>
    <x v="110"/>
    <x v="215"/>
    <x v="4"/>
  </r>
  <r>
    <x v="0"/>
    <x v="14"/>
    <x v="14"/>
    <x v="8"/>
    <x v="8"/>
    <x v="8"/>
    <x v="9"/>
    <x v="198"/>
    <x v="229"/>
    <x v="63"/>
    <x v="221"/>
    <x v="150"/>
    <x v="216"/>
    <x v="4"/>
  </r>
  <r>
    <x v="0"/>
    <x v="14"/>
    <x v="14"/>
    <x v="9"/>
    <x v="9"/>
    <x v="9"/>
    <x v="10"/>
    <x v="199"/>
    <x v="230"/>
    <x v="143"/>
    <x v="222"/>
    <x v="68"/>
    <x v="217"/>
    <x v="4"/>
  </r>
  <r>
    <x v="0"/>
    <x v="14"/>
    <x v="14"/>
    <x v="22"/>
    <x v="22"/>
    <x v="22"/>
    <x v="11"/>
    <x v="56"/>
    <x v="175"/>
    <x v="47"/>
    <x v="223"/>
    <x v="54"/>
    <x v="218"/>
    <x v="4"/>
  </r>
  <r>
    <x v="0"/>
    <x v="14"/>
    <x v="14"/>
    <x v="16"/>
    <x v="16"/>
    <x v="16"/>
    <x v="12"/>
    <x v="91"/>
    <x v="231"/>
    <x v="55"/>
    <x v="13"/>
    <x v="86"/>
    <x v="173"/>
    <x v="4"/>
  </r>
  <r>
    <x v="0"/>
    <x v="14"/>
    <x v="14"/>
    <x v="18"/>
    <x v="18"/>
    <x v="18"/>
    <x v="12"/>
    <x v="91"/>
    <x v="231"/>
    <x v="53"/>
    <x v="224"/>
    <x v="84"/>
    <x v="219"/>
    <x v="1"/>
  </r>
  <r>
    <x v="0"/>
    <x v="14"/>
    <x v="14"/>
    <x v="15"/>
    <x v="15"/>
    <x v="15"/>
    <x v="12"/>
    <x v="91"/>
    <x v="231"/>
    <x v="88"/>
    <x v="225"/>
    <x v="94"/>
    <x v="97"/>
    <x v="4"/>
  </r>
  <r>
    <x v="0"/>
    <x v="14"/>
    <x v="14"/>
    <x v="12"/>
    <x v="12"/>
    <x v="12"/>
    <x v="15"/>
    <x v="128"/>
    <x v="159"/>
    <x v="75"/>
    <x v="112"/>
    <x v="74"/>
    <x v="220"/>
    <x v="4"/>
  </r>
  <r>
    <x v="0"/>
    <x v="14"/>
    <x v="14"/>
    <x v="17"/>
    <x v="17"/>
    <x v="17"/>
    <x v="16"/>
    <x v="80"/>
    <x v="232"/>
    <x v="61"/>
    <x v="226"/>
    <x v="71"/>
    <x v="102"/>
    <x v="4"/>
  </r>
  <r>
    <x v="0"/>
    <x v="14"/>
    <x v="14"/>
    <x v="19"/>
    <x v="19"/>
    <x v="19"/>
    <x v="17"/>
    <x v="129"/>
    <x v="233"/>
    <x v="35"/>
    <x v="227"/>
    <x v="101"/>
    <x v="34"/>
    <x v="4"/>
  </r>
  <r>
    <x v="0"/>
    <x v="14"/>
    <x v="14"/>
    <x v="13"/>
    <x v="13"/>
    <x v="13"/>
    <x v="17"/>
    <x v="129"/>
    <x v="233"/>
    <x v="55"/>
    <x v="13"/>
    <x v="63"/>
    <x v="80"/>
    <x v="4"/>
  </r>
  <r>
    <x v="0"/>
    <x v="14"/>
    <x v="14"/>
    <x v="10"/>
    <x v="10"/>
    <x v="10"/>
    <x v="17"/>
    <x v="129"/>
    <x v="233"/>
    <x v="23"/>
    <x v="228"/>
    <x v="92"/>
    <x v="85"/>
    <x v="4"/>
  </r>
  <r>
    <x v="0"/>
    <x v="15"/>
    <x v="15"/>
    <x v="0"/>
    <x v="0"/>
    <x v="0"/>
    <x v="0"/>
    <x v="34"/>
    <x v="234"/>
    <x v="144"/>
    <x v="229"/>
    <x v="96"/>
    <x v="41"/>
    <x v="4"/>
  </r>
  <r>
    <x v="0"/>
    <x v="15"/>
    <x v="15"/>
    <x v="1"/>
    <x v="1"/>
    <x v="1"/>
    <x v="1"/>
    <x v="200"/>
    <x v="235"/>
    <x v="145"/>
    <x v="230"/>
    <x v="70"/>
    <x v="221"/>
    <x v="4"/>
  </r>
  <r>
    <x v="0"/>
    <x v="15"/>
    <x v="15"/>
    <x v="4"/>
    <x v="4"/>
    <x v="4"/>
    <x v="2"/>
    <x v="201"/>
    <x v="70"/>
    <x v="146"/>
    <x v="231"/>
    <x v="174"/>
    <x v="222"/>
    <x v="4"/>
  </r>
  <r>
    <x v="0"/>
    <x v="15"/>
    <x v="15"/>
    <x v="3"/>
    <x v="3"/>
    <x v="3"/>
    <x v="3"/>
    <x v="124"/>
    <x v="236"/>
    <x v="129"/>
    <x v="232"/>
    <x v="175"/>
    <x v="223"/>
    <x v="1"/>
  </r>
  <r>
    <x v="0"/>
    <x v="15"/>
    <x v="15"/>
    <x v="8"/>
    <x v="8"/>
    <x v="8"/>
    <x v="4"/>
    <x v="202"/>
    <x v="151"/>
    <x v="19"/>
    <x v="233"/>
    <x v="91"/>
    <x v="224"/>
    <x v="4"/>
  </r>
  <r>
    <x v="0"/>
    <x v="15"/>
    <x v="15"/>
    <x v="2"/>
    <x v="2"/>
    <x v="2"/>
    <x v="5"/>
    <x v="146"/>
    <x v="237"/>
    <x v="44"/>
    <x v="98"/>
    <x v="174"/>
    <x v="222"/>
    <x v="4"/>
  </r>
  <r>
    <x v="0"/>
    <x v="15"/>
    <x v="15"/>
    <x v="5"/>
    <x v="5"/>
    <x v="5"/>
    <x v="6"/>
    <x v="110"/>
    <x v="238"/>
    <x v="147"/>
    <x v="234"/>
    <x v="80"/>
    <x v="225"/>
    <x v="4"/>
  </r>
  <r>
    <x v="0"/>
    <x v="15"/>
    <x v="15"/>
    <x v="6"/>
    <x v="6"/>
    <x v="6"/>
    <x v="7"/>
    <x v="97"/>
    <x v="184"/>
    <x v="37"/>
    <x v="140"/>
    <x v="176"/>
    <x v="226"/>
    <x v="4"/>
  </r>
  <r>
    <x v="0"/>
    <x v="15"/>
    <x v="15"/>
    <x v="7"/>
    <x v="7"/>
    <x v="7"/>
    <x v="7"/>
    <x v="97"/>
    <x v="184"/>
    <x v="143"/>
    <x v="235"/>
    <x v="104"/>
    <x v="227"/>
    <x v="4"/>
  </r>
  <r>
    <x v="0"/>
    <x v="15"/>
    <x v="15"/>
    <x v="11"/>
    <x v="11"/>
    <x v="11"/>
    <x v="9"/>
    <x v="77"/>
    <x v="239"/>
    <x v="23"/>
    <x v="236"/>
    <x v="81"/>
    <x v="228"/>
    <x v="4"/>
  </r>
  <r>
    <x v="0"/>
    <x v="15"/>
    <x v="15"/>
    <x v="9"/>
    <x v="9"/>
    <x v="9"/>
    <x v="10"/>
    <x v="168"/>
    <x v="136"/>
    <x v="95"/>
    <x v="237"/>
    <x v="85"/>
    <x v="194"/>
    <x v="4"/>
  </r>
  <r>
    <x v="0"/>
    <x v="15"/>
    <x v="15"/>
    <x v="14"/>
    <x v="14"/>
    <x v="14"/>
    <x v="11"/>
    <x v="99"/>
    <x v="10"/>
    <x v="54"/>
    <x v="238"/>
    <x v="149"/>
    <x v="111"/>
    <x v="4"/>
  </r>
  <r>
    <x v="0"/>
    <x v="15"/>
    <x v="15"/>
    <x v="13"/>
    <x v="13"/>
    <x v="13"/>
    <x v="12"/>
    <x v="93"/>
    <x v="124"/>
    <x v="67"/>
    <x v="239"/>
    <x v="104"/>
    <x v="227"/>
    <x v="4"/>
  </r>
  <r>
    <x v="0"/>
    <x v="15"/>
    <x v="15"/>
    <x v="12"/>
    <x v="12"/>
    <x v="12"/>
    <x v="13"/>
    <x v="66"/>
    <x v="240"/>
    <x v="68"/>
    <x v="193"/>
    <x v="63"/>
    <x v="229"/>
    <x v="1"/>
  </r>
  <r>
    <x v="0"/>
    <x v="15"/>
    <x v="15"/>
    <x v="10"/>
    <x v="10"/>
    <x v="10"/>
    <x v="14"/>
    <x v="82"/>
    <x v="80"/>
    <x v="45"/>
    <x v="240"/>
    <x v="102"/>
    <x v="101"/>
    <x v="4"/>
  </r>
  <r>
    <x v="0"/>
    <x v="15"/>
    <x v="15"/>
    <x v="16"/>
    <x v="16"/>
    <x v="16"/>
    <x v="15"/>
    <x v="68"/>
    <x v="208"/>
    <x v="59"/>
    <x v="241"/>
    <x v="102"/>
    <x v="101"/>
    <x v="4"/>
  </r>
  <r>
    <x v="0"/>
    <x v="15"/>
    <x v="15"/>
    <x v="15"/>
    <x v="15"/>
    <x v="15"/>
    <x v="16"/>
    <x v="116"/>
    <x v="35"/>
    <x v="67"/>
    <x v="239"/>
    <x v="113"/>
    <x v="230"/>
    <x v="4"/>
  </r>
  <r>
    <x v="0"/>
    <x v="15"/>
    <x v="15"/>
    <x v="17"/>
    <x v="17"/>
    <x v="17"/>
    <x v="17"/>
    <x v="106"/>
    <x v="241"/>
    <x v="44"/>
    <x v="98"/>
    <x v="77"/>
    <x v="231"/>
    <x v="4"/>
  </r>
  <r>
    <x v="0"/>
    <x v="15"/>
    <x v="15"/>
    <x v="20"/>
    <x v="20"/>
    <x v="20"/>
    <x v="18"/>
    <x v="203"/>
    <x v="242"/>
    <x v="44"/>
    <x v="98"/>
    <x v="99"/>
    <x v="80"/>
    <x v="4"/>
  </r>
  <r>
    <x v="0"/>
    <x v="15"/>
    <x v="15"/>
    <x v="29"/>
    <x v="29"/>
    <x v="29"/>
    <x v="18"/>
    <x v="203"/>
    <x v="242"/>
    <x v="44"/>
    <x v="98"/>
    <x v="99"/>
    <x v="80"/>
    <x v="4"/>
  </r>
  <r>
    <x v="0"/>
    <x v="16"/>
    <x v="16"/>
    <x v="1"/>
    <x v="1"/>
    <x v="1"/>
    <x v="0"/>
    <x v="35"/>
    <x v="243"/>
    <x v="116"/>
    <x v="242"/>
    <x v="177"/>
    <x v="232"/>
    <x v="4"/>
  </r>
  <r>
    <x v="0"/>
    <x v="16"/>
    <x v="16"/>
    <x v="0"/>
    <x v="0"/>
    <x v="0"/>
    <x v="1"/>
    <x v="138"/>
    <x v="244"/>
    <x v="132"/>
    <x v="243"/>
    <x v="80"/>
    <x v="233"/>
    <x v="4"/>
  </r>
  <r>
    <x v="0"/>
    <x v="16"/>
    <x v="16"/>
    <x v="2"/>
    <x v="2"/>
    <x v="2"/>
    <x v="2"/>
    <x v="204"/>
    <x v="245"/>
    <x v="74"/>
    <x v="244"/>
    <x v="46"/>
    <x v="234"/>
    <x v="7"/>
  </r>
  <r>
    <x v="0"/>
    <x v="16"/>
    <x v="16"/>
    <x v="3"/>
    <x v="3"/>
    <x v="3"/>
    <x v="3"/>
    <x v="173"/>
    <x v="246"/>
    <x v="26"/>
    <x v="245"/>
    <x v="178"/>
    <x v="235"/>
    <x v="4"/>
  </r>
  <r>
    <x v="0"/>
    <x v="16"/>
    <x v="16"/>
    <x v="4"/>
    <x v="4"/>
    <x v="4"/>
    <x v="4"/>
    <x v="205"/>
    <x v="247"/>
    <x v="83"/>
    <x v="246"/>
    <x v="179"/>
    <x v="226"/>
    <x v="4"/>
  </r>
  <r>
    <x v="0"/>
    <x v="16"/>
    <x v="16"/>
    <x v="7"/>
    <x v="7"/>
    <x v="7"/>
    <x v="5"/>
    <x v="123"/>
    <x v="248"/>
    <x v="83"/>
    <x v="246"/>
    <x v="176"/>
    <x v="123"/>
    <x v="1"/>
  </r>
  <r>
    <x v="0"/>
    <x v="16"/>
    <x v="16"/>
    <x v="13"/>
    <x v="13"/>
    <x v="13"/>
    <x v="6"/>
    <x v="124"/>
    <x v="184"/>
    <x v="47"/>
    <x v="247"/>
    <x v="133"/>
    <x v="236"/>
    <x v="4"/>
  </r>
  <r>
    <x v="0"/>
    <x v="16"/>
    <x v="16"/>
    <x v="9"/>
    <x v="9"/>
    <x v="9"/>
    <x v="7"/>
    <x v="176"/>
    <x v="249"/>
    <x v="65"/>
    <x v="248"/>
    <x v="84"/>
    <x v="157"/>
    <x v="4"/>
  </r>
  <r>
    <x v="0"/>
    <x v="16"/>
    <x v="16"/>
    <x v="8"/>
    <x v="8"/>
    <x v="8"/>
    <x v="8"/>
    <x v="198"/>
    <x v="172"/>
    <x v="63"/>
    <x v="249"/>
    <x v="150"/>
    <x v="237"/>
    <x v="4"/>
  </r>
  <r>
    <x v="0"/>
    <x v="16"/>
    <x v="16"/>
    <x v="5"/>
    <x v="5"/>
    <x v="5"/>
    <x v="9"/>
    <x v="202"/>
    <x v="250"/>
    <x v="147"/>
    <x v="65"/>
    <x v="180"/>
    <x v="238"/>
    <x v="4"/>
  </r>
  <r>
    <x v="0"/>
    <x v="16"/>
    <x v="16"/>
    <x v="6"/>
    <x v="6"/>
    <x v="6"/>
    <x v="10"/>
    <x v="206"/>
    <x v="251"/>
    <x v="86"/>
    <x v="250"/>
    <x v="76"/>
    <x v="239"/>
    <x v="4"/>
  </r>
  <r>
    <x v="0"/>
    <x v="16"/>
    <x v="16"/>
    <x v="10"/>
    <x v="10"/>
    <x v="10"/>
    <x v="11"/>
    <x v="207"/>
    <x v="252"/>
    <x v="133"/>
    <x v="92"/>
    <x v="92"/>
    <x v="240"/>
    <x v="4"/>
  </r>
  <r>
    <x v="0"/>
    <x v="16"/>
    <x v="16"/>
    <x v="16"/>
    <x v="16"/>
    <x v="16"/>
    <x v="11"/>
    <x v="207"/>
    <x v="252"/>
    <x v="67"/>
    <x v="251"/>
    <x v="74"/>
    <x v="241"/>
    <x v="4"/>
  </r>
  <r>
    <x v="0"/>
    <x v="16"/>
    <x v="16"/>
    <x v="12"/>
    <x v="12"/>
    <x v="12"/>
    <x v="13"/>
    <x v="80"/>
    <x v="207"/>
    <x v="37"/>
    <x v="252"/>
    <x v="73"/>
    <x v="242"/>
    <x v="4"/>
  </r>
  <r>
    <x v="0"/>
    <x v="16"/>
    <x v="16"/>
    <x v="11"/>
    <x v="11"/>
    <x v="11"/>
    <x v="14"/>
    <x v="92"/>
    <x v="159"/>
    <x v="37"/>
    <x v="252"/>
    <x v="81"/>
    <x v="37"/>
    <x v="4"/>
  </r>
  <r>
    <x v="0"/>
    <x v="16"/>
    <x v="16"/>
    <x v="30"/>
    <x v="30"/>
    <x v="30"/>
    <x v="15"/>
    <x v="66"/>
    <x v="253"/>
    <x v="52"/>
    <x v="51"/>
    <x v="114"/>
    <x v="82"/>
    <x v="4"/>
  </r>
  <r>
    <x v="0"/>
    <x v="16"/>
    <x v="16"/>
    <x v="24"/>
    <x v="24"/>
    <x v="24"/>
    <x v="15"/>
    <x v="66"/>
    <x v="253"/>
    <x v="34"/>
    <x v="186"/>
    <x v="72"/>
    <x v="154"/>
    <x v="4"/>
  </r>
  <r>
    <x v="0"/>
    <x v="16"/>
    <x v="16"/>
    <x v="31"/>
    <x v="31"/>
    <x v="31"/>
    <x v="17"/>
    <x v="67"/>
    <x v="254"/>
    <x v="52"/>
    <x v="51"/>
    <x v="73"/>
    <x v="242"/>
    <x v="4"/>
  </r>
  <r>
    <x v="0"/>
    <x v="16"/>
    <x v="16"/>
    <x v="14"/>
    <x v="14"/>
    <x v="14"/>
    <x v="18"/>
    <x v="114"/>
    <x v="255"/>
    <x v="53"/>
    <x v="253"/>
    <x v="84"/>
    <x v="157"/>
    <x v="4"/>
  </r>
  <r>
    <x v="0"/>
    <x v="16"/>
    <x v="16"/>
    <x v="20"/>
    <x v="20"/>
    <x v="20"/>
    <x v="19"/>
    <x v="69"/>
    <x v="163"/>
    <x v="53"/>
    <x v="253"/>
    <x v="74"/>
    <x v="241"/>
    <x v="4"/>
  </r>
  <r>
    <x v="0"/>
    <x v="16"/>
    <x v="16"/>
    <x v="15"/>
    <x v="15"/>
    <x v="15"/>
    <x v="19"/>
    <x v="69"/>
    <x v="163"/>
    <x v="79"/>
    <x v="254"/>
    <x v="106"/>
    <x v="243"/>
    <x v="4"/>
  </r>
  <r>
    <x v="0"/>
    <x v="17"/>
    <x v="17"/>
    <x v="0"/>
    <x v="0"/>
    <x v="0"/>
    <x v="0"/>
    <x v="208"/>
    <x v="256"/>
    <x v="148"/>
    <x v="255"/>
    <x v="180"/>
    <x v="124"/>
    <x v="4"/>
  </r>
  <r>
    <x v="0"/>
    <x v="17"/>
    <x v="17"/>
    <x v="1"/>
    <x v="1"/>
    <x v="1"/>
    <x v="1"/>
    <x v="209"/>
    <x v="257"/>
    <x v="149"/>
    <x v="256"/>
    <x v="54"/>
    <x v="244"/>
    <x v="4"/>
  </r>
  <r>
    <x v="0"/>
    <x v="17"/>
    <x v="17"/>
    <x v="2"/>
    <x v="2"/>
    <x v="2"/>
    <x v="2"/>
    <x v="210"/>
    <x v="258"/>
    <x v="45"/>
    <x v="257"/>
    <x v="181"/>
    <x v="176"/>
    <x v="4"/>
  </r>
  <r>
    <x v="0"/>
    <x v="17"/>
    <x v="17"/>
    <x v="3"/>
    <x v="3"/>
    <x v="3"/>
    <x v="3"/>
    <x v="211"/>
    <x v="259"/>
    <x v="18"/>
    <x v="258"/>
    <x v="90"/>
    <x v="245"/>
    <x v="4"/>
  </r>
  <r>
    <x v="0"/>
    <x v="17"/>
    <x v="17"/>
    <x v="4"/>
    <x v="4"/>
    <x v="4"/>
    <x v="4"/>
    <x v="212"/>
    <x v="227"/>
    <x v="146"/>
    <x v="259"/>
    <x v="182"/>
    <x v="246"/>
    <x v="1"/>
  </r>
  <r>
    <x v="0"/>
    <x v="17"/>
    <x v="17"/>
    <x v="5"/>
    <x v="5"/>
    <x v="5"/>
    <x v="5"/>
    <x v="213"/>
    <x v="214"/>
    <x v="147"/>
    <x v="111"/>
    <x v="28"/>
    <x v="247"/>
    <x v="4"/>
  </r>
  <r>
    <x v="0"/>
    <x v="17"/>
    <x v="17"/>
    <x v="9"/>
    <x v="9"/>
    <x v="9"/>
    <x v="6"/>
    <x v="214"/>
    <x v="260"/>
    <x v="150"/>
    <x v="260"/>
    <x v="96"/>
    <x v="248"/>
    <x v="4"/>
  </r>
  <r>
    <x v="0"/>
    <x v="17"/>
    <x v="17"/>
    <x v="8"/>
    <x v="8"/>
    <x v="8"/>
    <x v="7"/>
    <x v="75"/>
    <x v="261"/>
    <x v="151"/>
    <x v="261"/>
    <x v="85"/>
    <x v="249"/>
    <x v="4"/>
  </r>
  <r>
    <x v="0"/>
    <x v="17"/>
    <x v="17"/>
    <x v="10"/>
    <x v="10"/>
    <x v="10"/>
    <x v="8"/>
    <x v="215"/>
    <x v="262"/>
    <x v="49"/>
    <x v="262"/>
    <x v="96"/>
    <x v="248"/>
    <x v="4"/>
  </r>
  <r>
    <x v="0"/>
    <x v="17"/>
    <x v="17"/>
    <x v="7"/>
    <x v="7"/>
    <x v="7"/>
    <x v="9"/>
    <x v="176"/>
    <x v="263"/>
    <x v="78"/>
    <x v="263"/>
    <x v="112"/>
    <x v="250"/>
    <x v="4"/>
  </r>
  <r>
    <x v="0"/>
    <x v="17"/>
    <x v="17"/>
    <x v="12"/>
    <x v="12"/>
    <x v="12"/>
    <x v="10"/>
    <x v="216"/>
    <x v="204"/>
    <x v="129"/>
    <x v="264"/>
    <x v="149"/>
    <x v="96"/>
    <x v="4"/>
  </r>
  <r>
    <x v="0"/>
    <x v="17"/>
    <x v="17"/>
    <x v="11"/>
    <x v="11"/>
    <x v="11"/>
    <x v="11"/>
    <x v="90"/>
    <x v="205"/>
    <x v="51"/>
    <x v="153"/>
    <x v="60"/>
    <x v="183"/>
    <x v="4"/>
  </r>
  <r>
    <x v="0"/>
    <x v="17"/>
    <x v="17"/>
    <x v="6"/>
    <x v="6"/>
    <x v="6"/>
    <x v="12"/>
    <x v="206"/>
    <x v="264"/>
    <x v="36"/>
    <x v="265"/>
    <x v="183"/>
    <x v="251"/>
    <x v="4"/>
  </r>
  <r>
    <x v="0"/>
    <x v="17"/>
    <x v="17"/>
    <x v="13"/>
    <x v="13"/>
    <x v="13"/>
    <x v="13"/>
    <x v="80"/>
    <x v="64"/>
    <x v="80"/>
    <x v="212"/>
    <x v="110"/>
    <x v="252"/>
    <x v="4"/>
  </r>
  <r>
    <x v="0"/>
    <x v="17"/>
    <x v="17"/>
    <x v="15"/>
    <x v="15"/>
    <x v="15"/>
    <x v="14"/>
    <x v="129"/>
    <x v="265"/>
    <x v="67"/>
    <x v="266"/>
    <x v="95"/>
    <x v="99"/>
    <x v="4"/>
  </r>
  <r>
    <x v="0"/>
    <x v="17"/>
    <x v="17"/>
    <x v="19"/>
    <x v="19"/>
    <x v="19"/>
    <x v="15"/>
    <x v="81"/>
    <x v="65"/>
    <x v="54"/>
    <x v="157"/>
    <x v="114"/>
    <x v="199"/>
    <x v="4"/>
  </r>
  <r>
    <x v="0"/>
    <x v="17"/>
    <x v="17"/>
    <x v="28"/>
    <x v="28"/>
    <x v="28"/>
    <x v="16"/>
    <x v="217"/>
    <x v="266"/>
    <x v="68"/>
    <x v="267"/>
    <x v="95"/>
    <x v="99"/>
    <x v="4"/>
  </r>
  <r>
    <x v="0"/>
    <x v="17"/>
    <x v="17"/>
    <x v="18"/>
    <x v="18"/>
    <x v="18"/>
    <x v="16"/>
    <x v="217"/>
    <x v="266"/>
    <x v="52"/>
    <x v="51"/>
    <x v="73"/>
    <x v="131"/>
    <x v="4"/>
  </r>
  <r>
    <x v="0"/>
    <x v="17"/>
    <x v="17"/>
    <x v="20"/>
    <x v="20"/>
    <x v="20"/>
    <x v="18"/>
    <x v="83"/>
    <x v="254"/>
    <x v="44"/>
    <x v="17"/>
    <x v="70"/>
    <x v="155"/>
    <x v="4"/>
  </r>
  <r>
    <x v="0"/>
    <x v="17"/>
    <x v="17"/>
    <x v="14"/>
    <x v="14"/>
    <x v="14"/>
    <x v="18"/>
    <x v="83"/>
    <x v="254"/>
    <x v="53"/>
    <x v="171"/>
    <x v="82"/>
    <x v="196"/>
    <x v="4"/>
  </r>
  <r>
    <x v="0"/>
    <x v="17"/>
    <x v="17"/>
    <x v="16"/>
    <x v="16"/>
    <x v="16"/>
    <x v="18"/>
    <x v="83"/>
    <x v="254"/>
    <x v="66"/>
    <x v="31"/>
    <x v="94"/>
    <x v="217"/>
    <x v="4"/>
  </r>
  <r>
    <x v="0"/>
    <x v="18"/>
    <x v="18"/>
    <x v="0"/>
    <x v="0"/>
    <x v="0"/>
    <x v="0"/>
    <x v="211"/>
    <x v="55"/>
    <x v="77"/>
    <x v="268"/>
    <x v="92"/>
    <x v="253"/>
    <x v="4"/>
  </r>
  <r>
    <x v="0"/>
    <x v="18"/>
    <x v="18"/>
    <x v="1"/>
    <x v="1"/>
    <x v="1"/>
    <x v="1"/>
    <x v="218"/>
    <x v="267"/>
    <x v="112"/>
    <x v="269"/>
    <x v="95"/>
    <x v="254"/>
    <x v="4"/>
  </r>
  <r>
    <x v="0"/>
    <x v="18"/>
    <x v="18"/>
    <x v="3"/>
    <x v="3"/>
    <x v="3"/>
    <x v="2"/>
    <x v="219"/>
    <x v="246"/>
    <x v="129"/>
    <x v="209"/>
    <x v="184"/>
    <x v="255"/>
    <x v="4"/>
  </r>
  <r>
    <x v="0"/>
    <x v="18"/>
    <x v="18"/>
    <x v="2"/>
    <x v="2"/>
    <x v="2"/>
    <x v="3"/>
    <x v="198"/>
    <x v="268"/>
    <x v="152"/>
    <x v="270"/>
    <x v="180"/>
    <x v="256"/>
    <x v="4"/>
  </r>
  <r>
    <x v="0"/>
    <x v="18"/>
    <x v="18"/>
    <x v="5"/>
    <x v="5"/>
    <x v="5"/>
    <x v="4"/>
    <x v="53"/>
    <x v="269"/>
    <x v="80"/>
    <x v="135"/>
    <x v="108"/>
    <x v="257"/>
    <x v="4"/>
  </r>
  <r>
    <x v="0"/>
    <x v="18"/>
    <x v="18"/>
    <x v="4"/>
    <x v="4"/>
    <x v="4"/>
    <x v="5"/>
    <x v="90"/>
    <x v="270"/>
    <x v="95"/>
    <x v="271"/>
    <x v="96"/>
    <x v="258"/>
    <x v="4"/>
  </r>
  <r>
    <x v="0"/>
    <x v="18"/>
    <x v="18"/>
    <x v="6"/>
    <x v="6"/>
    <x v="6"/>
    <x v="6"/>
    <x v="111"/>
    <x v="271"/>
    <x v="61"/>
    <x v="272"/>
    <x v="65"/>
    <x v="259"/>
    <x v="4"/>
  </r>
  <r>
    <x v="0"/>
    <x v="18"/>
    <x v="18"/>
    <x v="9"/>
    <x v="9"/>
    <x v="9"/>
    <x v="7"/>
    <x v="129"/>
    <x v="272"/>
    <x v="26"/>
    <x v="273"/>
    <x v="118"/>
    <x v="260"/>
    <x v="4"/>
  </r>
  <r>
    <x v="0"/>
    <x v="18"/>
    <x v="18"/>
    <x v="8"/>
    <x v="8"/>
    <x v="8"/>
    <x v="8"/>
    <x v="112"/>
    <x v="273"/>
    <x v="96"/>
    <x v="274"/>
    <x v="118"/>
    <x v="260"/>
    <x v="4"/>
  </r>
  <r>
    <x v="0"/>
    <x v="18"/>
    <x v="18"/>
    <x v="15"/>
    <x v="15"/>
    <x v="15"/>
    <x v="8"/>
    <x v="112"/>
    <x v="273"/>
    <x v="88"/>
    <x v="275"/>
    <x v="106"/>
    <x v="261"/>
    <x v="4"/>
  </r>
  <r>
    <x v="0"/>
    <x v="18"/>
    <x v="18"/>
    <x v="7"/>
    <x v="7"/>
    <x v="7"/>
    <x v="10"/>
    <x v="113"/>
    <x v="137"/>
    <x v="23"/>
    <x v="276"/>
    <x v="106"/>
    <x v="261"/>
    <x v="4"/>
  </r>
  <r>
    <x v="0"/>
    <x v="18"/>
    <x v="18"/>
    <x v="11"/>
    <x v="11"/>
    <x v="11"/>
    <x v="11"/>
    <x v="95"/>
    <x v="174"/>
    <x v="47"/>
    <x v="277"/>
    <x v="97"/>
    <x v="262"/>
    <x v="4"/>
  </r>
  <r>
    <x v="0"/>
    <x v="18"/>
    <x v="18"/>
    <x v="13"/>
    <x v="13"/>
    <x v="13"/>
    <x v="12"/>
    <x v="84"/>
    <x v="274"/>
    <x v="81"/>
    <x v="32"/>
    <x v="77"/>
    <x v="263"/>
    <x v="1"/>
  </r>
  <r>
    <x v="0"/>
    <x v="18"/>
    <x v="18"/>
    <x v="10"/>
    <x v="10"/>
    <x v="10"/>
    <x v="13"/>
    <x v="116"/>
    <x v="275"/>
    <x v="55"/>
    <x v="278"/>
    <x v="116"/>
    <x v="264"/>
    <x v="4"/>
  </r>
  <r>
    <x v="0"/>
    <x v="18"/>
    <x v="18"/>
    <x v="14"/>
    <x v="14"/>
    <x v="14"/>
    <x v="14"/>
    <x v="117"/>
    <x v="158"/>
    <x v="54"/>
    <x v="156"/>
    <x v="93"/>
    <x v="228"/>
    <x v="4"/>
  </r>
  <r>
    <x v="0"/>
    <x v="18"/>
    <x v="18"/>
    <x v="17"/>
    <x v="17"/>
    <x v="17"/>
    <x v="15"/>
    <x v="104"/>
    <x v="276"/>
    <x v="46"/>
    <x v="279"/>
    <x v="97"/>
    <x v="262"/>
    <x v="4"/>
  </r>
  <r>
    <x v="0"/>
    <x v="18"/>
    <x v="18"/>
    <x v="18"/>
    <x v="18"/>
    <x v="18"/>
    <x v="16"/>
    <x v="118"/>
    <x v="208"/>
    <x v="52"/>
    <x v="51"/>
    <x v="106"/>
    <x v="261"/>
    <x v="4"/>
  </r>
  <r>
    <x v="0"/>
    <x v="18"/>
    <x v="18"/>
    <x v="12"/>
    <x v="12"/>
    <x v="12"/>
    <x v="17"/>
    <x v="106"/>
    <x v="277"/>
    <x v="86"/>
    <x v="25"/>
    <x v="91"/>
    <x v="16"/>
    <x v="4"/>
  </r>
  <r>
    <x v="0"/>
    <x v="18"/>
    <x v="18"/>
    <x v="16"/>
    <x v="16"/>
    <x v="16"/>
    <x v="17"/>
    <x v="106"/>
    <x v="277"/>
    <x v="34"/>
    <x v="280"/>
    <x v="102"/>
    <x v="9"/>
    <x v="4"/>
  </r>
  <r>
    <x v="0"/>
    <x v="18"/>
    <x v="18"/>
    <x v="20"/>
    <x v="20"/>
    <x v="20"/>
    <x v="19"/>
    <x v="119"/>
    <x v="278"/>
    <x v="53"/>
    <x v="154"/>
    <x v="99"/>
    <x v="92"/>
    <x v="4"/>
  </r>
  <r>
    <x v="0"/>
    <x v="19"/>
    <x v="19"/>
    <x v="1"/>
    <x v="1"/>
    <x v="1"/>
    <x v="0"/>
    <x v="220"/>
    <x v="279"/>
    <x v="39"/>
    <x v="281"/>
    <x v="99"/>
    <x v="265"/>
    <x v="4"/>
  </r>
  <r>
    <x v="0"/>
    <x v="19"/>
    <x v="19"/>
    <x v="0"/>
    <x v="0"/>
    <x v="0"/>
    <x v="1"/>
    <x v="221"/>
    <x v="164"/>
    <x v="140"/>
    <x v="282"/>
    <x v="91"/>
    <x v="266"/>
    <x v="4"/>
  </r>
  <r>
    <x v="0"/>
    <x v="19"/>
    <x v="19"/>
    <x v="3"/>
    <x v="3"/>
    <x v="3"/>
    <x v="2"/>
    <x v="222"/>
    <x v="280"/>
    <x v="87"/>
    <x v="283"/>
    <x v="128"/>
    <x v="267"/>
    <x v="4"/>
  </r>
  <r>
    <x v="0"/>
    <x v="19"/>
    <x v="19"/>
    <x v="4"/>
    <x v="4"/>
    <x v="4"/>
    <x v="3"/>
    <x v="223"/>
    <x v="281"/>
    <x v="50"/>
    <x v="284"/>
    <x v="176"/>
    <x v="268"/>
    <x v="4"/>
  </r>
  <r>
    <x v="0"/>
    <x v="19"/>
    <x v="19"/>
    <x v="5"/>
    <x v="5"/>
    <x v="5"/>
    <x v="4"/>
    <x v="224"/>
    <x v="282"/>
    <x v="19"/>
    <x v="285"/>
    <x v="69"/>
    <x v="269"/>
    <x v="4"/>
  </r>
  <r>
    <x v="0"/>
    <x v="19"/>
    <x v="19"/>
    <x v="7"/>
    <x v="7"/>
    <x v="7"/>
    <x v="5"/>
    <x v="225"/>
    <x v="283"/>
    <x v="153"/>
    <x v="286"/>
    <x v="63"/>
    <x v="167"/>
    <x v="4"/>
  </r>
  <r>
    <x v="0"/>
    <x v="19"/>
    <x v="19"/>
    <x v="6"/>
    <x v="6"/>
    <x v="6"/>
    <x v="6"/>
    <x v="146"/>
    <x v="116"/>
    <x v="65"/>
    <x v="287"/>
    <x v="96"/>
    <x v="270"/>
    <x v="4"/>
  </r>
  <r>
    <x v="0"/>
    <x v="19"/>
    <x v="19"/>
    <x v="2"/>
    <x v="2"/>
    <x v="2"/>
    <x v="7"/>
    <x v="77"/>
    <x v="284"/>
    <x v="67"/>
    <x v="79"/>
    <x v="73"/>
    <x v="271"/>
    <x v="4"/>
  </r>
  <r>
    <x v="0"/>
    <x v="19"/>
    <x v="19"/>
    <x v="8"/>
    <x v="8"/>
    <x v="8"/>
    <x v="8"/>
    <x v="79"/>
    <x v="250"/>
    <x v="87"/>
    <x v="283"/>
    <x v="185"/>
    <x v="272"/>
    <x v="4"/>
  </r>
  <r>
    <x v="0"/>
    <x v="19"/>
    <x v="19"/>
    <x v="9"/>
    <x v="9"/>
    <x v="9"/>
    <x v="9"/>
    <x v="99"/>
    <x v="285"/>
    <x v="74"/>
    <x v="288"/>
    <x v="106"/>
    <x v="87"/>
    <x v="4"/>
  </r>
  <r>
    <x v="0"/>
    <x v="19"/>
    <x v="19"/>
    <x v="11"/>
    <x v="11"/>
    <x v="11"/>
    <x v="10"/>
    <x v="111"/>
    <x v="76"/>
    <x v="152"/>
    <x v="289"/>
    <x v="92"/>
    <x v="273"/>
    <x v="4"/>
  </r>
  <r>
    <x v="0"/>
    <x v="19"/>
    <x v="19"/>
    <x v="15"/>
    <x v="15"/>
    <x v="15"/>
    <x v="11"/>
    <x v="92"/>
    <x v="138"/>
    <x v="73"/>
    <x v="290"/>
    <x v="151"/>
    <x v="274"/>
    <x v="4"/>
  </r>
  <r>
    <x v="0"/>
    <x v="19"/>
    <x v="19"/>
    <x v="13"/>
    <x v="13"/>
    <x v="13"/>
    <x v="12"/>
    <x v="67"/>
    <x v="252"/>
    <x v="79"/>
    <x v="291"/>
    <x v="103"/>
    <x v="83"/>
    <x v="1"/>
  </r>
  <r>
    <x v="0"/>
    <x v="19"/>
    <x v="19"/>
    <x v="10"/>
    <x v="10"/>
    <x v="10"/>
    <x v="13"/>
    <x v="117"/>
    <x v="52"/>
    <x v="18"/>
    <x v="292"/>
    <x v="118"/>
    <x v="275"/>
    <x v="4"/>
  </r>
  <r>
    <x v="0"/>
    <x v="19"/>
    <x v="19"/>
    <x v="16"/>
    <x v="16"/>
    <x v="16"/>
    <x v="14"/>
    <x v="102"/>
    <x v="127"/>
    <x v="66"/>
    <x v="293"/>
    <x v="66"/>
    <x v="276"/>
    <x v="4"/>
  </r>
  <r>
    <x v="0"/>
    <x v="19"/>
    <x v="19"/>
    <x v="26"/>
    <x v="26"/>
    <x v="26"/>
    <x v="15"/>
    <x v="105"/>
    <x v="108"/>
    <x v="46"/>
    <x v="98"/>
    <x v="103"/>
    <x v="83"/>
    <x v="4"/>
  </r>
  <r>
    <x v="0"/>
    <x v="19"/>
    <x v="19"/>
    <x v="20"/>
    <x v="20"/>
    <x v="20"/>
    <x v="16"/>
    <x v="106"/>
    <x v="110"/>
    <x v="36"/>
    <x v="102"/>
    <x v="106"/>
    <x v="87"/>
    <x v="4"/>
  </r>
  <r>
    <x v="0"/>
    <x v="19"/>
    <x v="19"/>
    <x v="18"/>
    <x v="18"/>
    <x v="18"/>
    <x v="17"/>
    <x v="203"/>
    <x v="286"/>
    <x v="52"/>
    <x v="51"/>
    <x v="150"/>
    <x v="277"/>
    <x v="4"/>
  </r>
  <r>
    <x v="0"/>
    <x v="19"/>
    <x v="19"/>
    <x v="14"/>
    <x v="14"/>
    <x v="14"/>
    <x v="18"/>
    <x v="226"/>
    <x v="287"/>
    <x v="44"/>
    <x v="294"/>
    <x v="102"/>
    <x v="278"/>
    <x v="4"/>
  </r>
  <r>
    <x v="0"/>
    <x v="19"/>
    <x v="19"/>
    <x v="12"/>
    <x v="12"/>
    <x v="12"/>
    <x v="18"/>
    <x v="226"/>
    <x v="287"/>
    <x v="37"/>
    <x v="295"/>
    <x v="113"/>
    <x v="243"/>
    <x v="4"/>
  </r>
  <r>
    <x v="0"/>
    <x v="20"/>
    <x v="20"/>
    <x v="2"/>
    <x v="2"/>
    <x v="2"/>
    <x v="0"/>
    <x v="227"/>
    <x v="288"/>
    <x v="151"/>
    <x v="296"/>
    <x v="186"/>
    <x v="279"/>
    <x v="1"/>
  </r>
  <r>
    <x v="0"/>
    <x v="20"/>
    <x v="20"/>
    <x v="0"/>
    <x v="0"/>
    <x v="0"/>
    <x v="1"/>
    <x v="228"/>
    <x v="289"/>
    <x v="154"/>
    <x v="297"/>
    <x v="80"/>
    <x v="280"/>
    <x v="4"/>
  </r>
  <r>
    <x v="0"/>
    <x v="20"/>
    <x v="20"/>
    <x v="1"/>
    <x v="1"/>
    <x v="1"/>
    <x v="2"/>
    <x v="200"/>
    <x v="290"/>
    <x v="155"/>
    <x v="298"/>
    <x v="54"/>
    <x v="281"/>
    <x v="4"/>
  </r>
  <r>
    <x v="0"/>
    <x v="20"/>
    <x v="20"/>
    <x v="4"/>
    <x v="4"/>
    <x v="4"/>
    <x v="3"/>
    <x v="214"/>
    <x v="291"/>
    <x v="84"/>
    <x v="299"/>
    <x v="98"/>
    <x v="282"/>
    <x v="4"/>
  </r>
  <r>
    <x v="0"/>
    <x v="20"/>
    <x v="20"/>
    <x v="8"/>
    <x v="8"/>
    <x v="8"/>
    <x v="4"/>
    <x v="51"/>
    <x v="292"/>
    <x v="156"/>
    <x v="300"/>
    <x v="93"/>
    <x v="64"/>
    <x v="4"/>
  </r>
  <r>
    <x v="0"/>
    <x v="20"/>
    <x v="20"/>
    <x v="9"/>
    <x v="9"/>
    <x v="9"/>
    <x v="5"/>
    <x v="229"/>
    <x v="293"/>
    <x v="120"/>
    <x v="301"/>
    <x v="81"/>
    <x v="283"/>
    <x v="1"/>
  </r>
  <r>
    <x v="0"/>
    <x v="20"/>
    <x v="20"/>
    <x v="10"/>
    <x v="10"/>
    <x v="10"/>
    <x v="6"/>
    <x v="61"/>
    <x v="294"/>
    <x v="88"/>
    <x v="92"/>
    <x v="187"/>
    <x v="284"/>
    <x v="4"/>
  </r>
  <r>
    <x v="0"/>
    <x v="20"/>
    <x v="20"/>
    <x v="7"/>
    <x v="7"/>
    <x v="7"/>
    <x v="7"/>
    <x v="53"/>
    <x v="295"/>
    <x v="122"/>
    <x v="302"/>
    <x v="71"/>
    <x v="195"/>
    <x v="4"/>
  </r>
  <r>
    <x v="0"/>
    <x v="20"/>
    <x v="20"/>
    <x v="3"/>
    <x v="3"/>
    <x v="3"/>
    <x v="8"/>
    <x v="206"/>
    <x v="296"/>
    <x v="38"/>
    <x v="303"/>
    <x v="176"/>
    <x v="169"/>
    <x v="4"/>
  </r>
  <r>
    <x v="0"/>
    <x v="20"/>
    <x v="20"/>
    <x v="6"/>
    <x v="6"/>
    <x v="6"/>
    <x v="8"/>
    <x v="206"/>
    <x v="296"/>
    <x v="35"/>
    <x v="304"/>
    <x v="163"/>
    <x v="46"/>
    <x v="4"/>
  </r>
  <r>
    <x v="0"/>
    <x v="20"/>
    <x v="20"/>
    <x v="12"/>
    <x v="12"/>
    <x v="12"/>
    <x v="8"/>
    <x v="206"/>
    <x v="296"/>
    <x v="47"/>
    <x v="305"/>
    <x v="51"/>
    <x v="285"/>
    <x v="4"/>
  </r>
  <r>
    <x v="0"/>
    <x v="20"/>
    <x v="20"/>
    <x v="5"/>
    <x v="5"/>
    <x v="5"/>
    <x v="11"/>
    <x v="55"/>
    <x v="297"/>
    <x v="81"/>
    <x v="50"/>
    <x v="188"/>
    <x v="286"/>
    <x v="4"/>
  </r>
  <r>
    <x v="0"/>
    <x v="20"/>
    <x v="20"/>
    <x v="14"/>
    <x v="14"/>
    <x v="14"/>
    <x v="12"/>
    <x v="100"/>
    <x v="176"/>
    <x v="35"/>
    <x v="304"/>
    <x v="114"/>
    <x v="287"/>
    <x v="4"/>
  </r>
  <r>
    <x v="0"/>
    <x v="20"/>
    <x v="20"/>
    <x v="16"/>
    <x v="16"/>
    <x v="16"/>
    <x v="13"/>
    <x v="95"/>
    <x v="208"/>
    <x v="66"/>
    <x v="247"/>
    <x v="97"/>
    <x v="288"/>
    <x v="4"/>
  </r>
  <r>
    <x v="0"/>
    <x v="20"/>
    <x v="20"/>
    <x v="11"/>
    <x v="11"/>
    <x v="11"/>
    <x v="14"/>
    <x v="101"/>
    <x v="51"/>
    <x v="66"/>
    <x v="247"/>
    <x v="103"/>
    <x v="289"/>
    <x v="4"/>
  </r>
  <r>
    <x v="0"/>
    <x v="20"/>
    <x v="20"/>
    <x v="13"/>
    <x v="13"/>
    <x v="13"/>
    <x v="15"/>
    <x v="115"/>
    <x v="277"/>
    <x v="86"/>
    <x v="16"/>
    <x v="94"/>
    <x v="290"/>
    <x v="4"/>
  </r>
  <r>
    <x v="0"/>
    <x v="20"/>
    <x v="20"/>
    <x v="18"/>
    <x v="18"/>
    <x v="18"/>
    <x v="16"/>
    <x v="68"/>
    <x v="36"/>
    <x v="53"/>
    <x v="53"/>
    <x v="74"/>
    <x v="196"/>
    <x v="4"/>
  </r>
  <r>
    <x v="0"/>
    <x v="20"/>
    <x v="20"/>
    <x v="19"/>
    <x v="19"/>
    <x v="19"/>
    <x v="17"/>
    <x v="117"/>
    <x v="298"/>
    <x v="53"/>
    <x v="53"/>
    <x v="49"/>
    <x v="18"/>
    <x v="4"/>
  </r>
  <r>
    <x v="0"/>
    <x v="20"/>
    <x v="20"/>
    <x v="20"/>
    <x v="20"/>
    <x v="20"/>
    <x v="18"/>
    <x v="103"/>
    <x v="109"/>
    <x v="54"/>
    <x v="114"/>
    <x v="68"/>
    <x v="291"/>
    <x v="4"/>
  </r>
  <r>
    <x v="0"/>
    <x v="20"/>
    <x v="20"/>
    <x v="21"/>
    <x v="21"/>
    <x v="21"/>
    <x v="18"/>
    <x v="103"/>
    <x v="109"/>
    <x v="53"/>
    <x v="53"/>
    <x v="95"/>
    <x v="61"/>
    <x v="4"/>
  </r>
  <r>
    <x v="0"/>
    <x v="21"/>
    <x v="21"/>
    <x v="0"/>
    <x v="0"/>
    <x v="0"/>
    <x v="0"/>
    <x v="230"/>
    <x v="299"/>
    <x v="157"/>
    <x v="306"/>
    <x v="46"/>
    <x v="182"/>
    <x v="4"/>
  </r>
  <r>
    <x v="0"/>
    <x v="21"/>
    <x v="21"/>
    <x v="2"/>
    <x v="2"/>
    <x v="2"/>
    <x v="1"/>
    <x v="231"/>
    <x v="300"/>
    <x v="158"/>
    <x v="307"/>
    <x v="189"/>
    <x v="292"/>
    <x v="1"/>
  </r>
  <r>
    <x v="0"/>
    <x v="21"/>
    <x v="21"/>
    <x v="1"/>
    <x v="1"/>
    <x v="1"/>
    <x v="2"/>
    <x v="232"/>
    <x v="301"/>
    <x v="159"/>
    <x v="308"/>
    <x v="190"/>
    <x v="293"/>
    <x v="4"/>
  </r>
  <r>
    <x v="0"/>
    <x v="21"/>
    <x v="21"/>
    <x v="3"/>
    <x v="3"/>
    <x v="3"/>
    <x v="3"/>
    <x v="233"/>
    <x v="302"/>
    <x v="160"/>
    <x v="212"/>
    <x v="191"/>
    <x v="294"/>
    <x v="4"/>
  </r>
  <r>
    <x v="0"/>
    <x v="21"/>
    <x v="21"/>
    <x v="5"/>
    <x v="5"/>
    <x v="5"/>
    <x v="4"/>
    <x v="234"/>
    <x v="303"/>
    <x v="31"/>
    <x v="309"/>
    <x v="192"/>
    <x v="295"/>
    <x v="4"/>
  </r>
  <r>
    <x v="0"/>
    <x v="21"/>
    <x v="21"/>
    <x v="4"/>
    <x v="4"/>
    <x v="4"/>
    <x v="5"/>
    <x v="235"/>
    <x v="168"/>
    <x v="161"/>
    <x v="310"/>
    <x v="193"/>
    <x v="296"/>
    <x v="4"/>
  </r>
  <r>
    <x v="0"/>
    <x v="21"/>
    <x v="21"/>
    <x v="9"/>
    <x v="9"/>
    <x v="9"/>
    <x v="6"/>
    <x v="236"/>
    <x v="304"/>
    <x v="162"/>
    <x v="311"/>
    <x v="146"/>
    <x v="83"/>
    <x v="4"/>
  </r>
  <r>
    <x v="0"/>
    <x v="21"/>
    <x v="21"/>
    <x v="8"/>
    <x v="8"/>
    <x v="8"/>
    <x v="7"/>
    <x v="237"/>
    <x v="305"/>
    <x v="163"/>
    <x v="312"/>
    <x v="152"/>
    <x v="204"/>
    <x v="4"/>
  </r>
  <r>
    <x v="0"/>
    <x v="21"/>
    <x v="21"/>
    <x v="10"/>
    <x v="10"/>
    <x v="10"/>
    <x v="8"/>
    <x v="238"/>
    <x v="294"/>
    <x v="112"/>
    <x v="313"/>
    <x v="87"/>
    <x v="297"/>
    <x v="4"/>
  </r>
  <r>
    <x v="0"/>
    <x v="21"/>
    <x v="21"/>
    <x v="6"/>
    <x v="6"/>
    <x v="6"/>
    <x v="9"/>
    <x v="157"/>
    <x v="284"/>
    <x v="45"/>
    <x v="198"/>
    <x v="194"/>
    <x v="298"/>
    <x v="4"/>
  </r>
  <r>
    <x v="0"/>
    <x v="21"/>
    <x v="21"/>
    <x v="11"/>
    <x v="11"/>
    <x v="11"/>
    <x v="10"/>
    <x v="239"/>
    <x v="306"/>
    <x v="114"/>
    <x v="84"/>
    <x v="128"/>
    <x v="154"/>
    <x v="4"/>
  </r>
  <r>
    <x v="0"/>
    <x v="21"/>
    <x v="21"/>
    <x v="7"/>
    <x v="7"/>
    <x v="7"/>
    <x v="11"/>
    <x v="240"/>
    <x v="307"/>
    <x v="60"/>
    <x v="314"/>
    <x v="177"/>
    <x v="299"/>
    <x v="4"/>
  </r>
  <r>
    <x v="0"/>
    <x v="21"/>
    <x v="21"/>
    <x v="12"/>
    <x v="12"/>
    <x v="12"/>
    <x v="12"/>
    <x v="222"/>
    <x v="308"/>
    <x v="95"/>
    <x v="193"/>
    <x v="179"/>
    <x v="12"/>
    <x v="4"/>
  </r>
  <r>
    <x v="0"/>
    <x v="21"/>
    <x v="21"/>
    <x v="13"/>
    <x v="13"/>
    <x v="13"/>
    <x v="13"/>
    <x v="174"/>
    <x v="275"/>
    <x v="127"/>
    <x v="315"/>
    <x v="169"/>
    <x v="168"/>
    <x v="1"/>
  </r>
  <r>
    <x v="0"/>
    <x v="21"/>
    <x v="21"/>
    <x v="19"/>
    <x v="19"/>
    <x v="19"/>
    <x v="14"/>
    <x v="73"/>
    <x v="309"/>
    <x v="34"/>
    <x v="227"/>
    <x v="195"/>
    <x v="263"/>
    <x v="4"/>
  </r>
  <r>
    <x v="0"/>
    <x v="21"/>
    <x v="21"/>
    <x v="14"/>
    <x v="14"/>
    <x v="14"/>
    <x v="15"/>
    <x v="74"/>
    <x v="253"/>
    <x v="36"/>
    <x v="294"/>
    <x v="196"/>
    <x v="300"/>
    <x v="4"/>
  </r>
  <r>
    <x v="0"/>
    <x v="21"/>
    <x v="21"/>
    <x v="21"/>
    <x v="21"/>
    <x v="21"/>
    <x v="16"/>
    <x v="76"/>
    <x v="35"/>
    <x v="44"/>
    <x v="19"/>
    <x v="126"/>
    <x v="30"/>
    <x v="1"/>
  </r>
  <r>
    <x v="0"/>
    <x v="21"/>
    <x v="21"/>
    <x v="20"/>
    <x v="20"/>
    <x v="20"/>
    <x v="17"/>
    <x v="52"/>
    <x v="66"/>
    <x v="38"/>
    <x v="17"/>
    <x v="50"/>
    <x v="37"/>
    <x v="1"/>
  </r>
  <r>
    <x v="0"/>
    <x v="21"/>
    <x v="21"/>
    <x v="16"/>
    <x v="16"/>
    <x v="16"/>
    <x v="18"/>
    <x v="145"/>
    <x v="192"/>
    <x v="88"/>
    <x v="59"/>
    <x v="197"/>
    <x v="301"/>
    <x v="4"/>
  </r>
  <r>
    <x v="0"/>
    <x v="21"/>
    <x v="21"/>
    <x v="18"/>
    <x v="18"/>
    <x v="18"/>
    <x v="19"/>
    <x v="176"/>
    <x v="162"/>
    <x v="53"/>
    <x v="316"/>
    <x v="198"/>
    <x v="64"/>
    <x v="4"/>
  </r>
  <r>
    <x v="0"/>
    <x v="22"/>
    <x v="22"/>
    <x v="1"/>
    <x v="1"/>
    <x v="1"/>
    <x v="0"/>
    <x v="167"/>
    <x v="310"/>
    <x v="114"/>
    <x v="317"/>
    <x v="150"/>
    <x v="296"/>
    <x v="4"/>
  </r>
  <r>
    <x v="0"/>
    <x v="22"/>
    <x v="22"/>
    <x v="0"/>
    <x v="0"/>
    <x v="0"/>
    <x v="1"/>
    <x v="55"/>
    <x v="311"/>
    <x v="31"/>
    <x v="318"/>
    <x v="118"/>
    <x v="35"/>
    <x v="4"/>
  </r>
  <r>
    <x v="0"/>
    <x v="22"/>
    <x v="22"/>
    <x v="7"/>
    <x v="7"/>
    <x v="7"/>
    <x v="2"/>
    <x v="98"/>
    <x v="312"/>
    <x v="85"/>
    <x v="28"/>
    <x v="99"/>
    <x v="302"/>
    <x v="4"/>
  </r>
  <r>
    <x v="0"/>
    <x v="22"/>
    <x v="22"/>
    <x v="2"/>
    <x v="2"/>
    <x v="2"/>
    <x v="2"/>
    <x v="98"/>
    <x v="312"/>
    <x v="108"/>
    <x v="319"/>
    <x v="113"/>
    <x v="242"/>
    <x v="4"/>
  </r>
  <r>
    <x v="0"/>
    <x v="22"/>
    <x v="22"/>
    <x v="3"/>
    <x v="3"/>
    <x v="3"/>
    <x v="4"/>
    <x v="64"/>
    <x v="313"/>
    <x v="26"/>
    <x v="203"/>
    <x v="74"/>
    <x v="303"/>
    <x v="4"/>
  </r>
  <r>
    <x v="0"/>
    <x v="22"/>
    <x v="22"/>
    <x v="4"/>
    <x v="4"/>
    <x v="4"/>
    <x v="5"/>
    <x v="99"/>
    <x v="314"/>
    <x v="23"/>
    <x v="320"/>
    <x v="63"/>
    <x v="304"/>
    <x v="4"/>
  </r>
  <r>
    <x v="0"/>
    <x v="22"/>
    <x v="22"/>
    <x v="27"/>
    <x v="27"/>
    <x v="27"/>
    <x v="6"/>
    <x v="82"/>
    <x v="315"/>
    <x v="26"/>
    <x v="203"/>
    <x v="116"/>
    <x v="58"/>
    <x v="4"/>
  </r>
  <r>
    <x v="0"/>
    <x v="22"/>
    <x v="22"/>
    <x v="5"/>
    <x v="5"/>
    <x v="5"/>
    <x v="7"/>
    <x v="117"/>
    <x v="316"/>
    <x v="67"/>
    <x v="321"/>
    <x v="199"/>
    <x v="198"/>
    <x v="4"/>
  </r>
  <r>
    <x v="0"/>
    <x v="22"/>
    <x v="22"/>
    <x v="6"/>
    <x v="6"/>
    <x v="6"/>
    <x v="8"/>
    <x v="226"/>
    <x v="63"/>
    <x v="61"/>
    <x v="322"/>
    <x v="105"/>
    <x v="305"/>
    <x v="4"/>
  </r>
  <r>
    <x v="0"/>
    <x v="22"/>
    <x v="22"/>
    <x v="9"/>
    <x v="9"/>
    <x v="9"/>
    <x v="9"/>
    <x v="107"/>
    <x v="141"/>
    <x v="81"/>
    <x v="323"/>
    <x v="185"/>
    <x v="306"/>
    <x v="4"/>
  </r>
  <r>
    <x v="0"/>
    <x v="22"/>
    <x v="22"/>
    <x v="24"/>
    <x v="24"/>
    <x v="24"/>
    <x v="10"/>
    <x v="109"/>
    <x v="33"/>
    <x v="46"/>
    <x v="324"/>
    <x v="105"/>
    <x v="305"/>
    <x v="4"/>
  </r>
  <r>
    <x v="0"/>
    <x v="22"/>
    <x v="22"/>
    <x v="11"/>
    <x v="11"/>
    <x v="11"/>
    <x v="11"/>
    <x v="241"/>
    <x v="191"/>
    <x v="36"/>
    <x v="325"/>
    <x v="199"/>
    <x v="198"/>
    <x v="4"/>
  </r>
  <r>
    <x v="0"/>
    <x v="22"/>
    <x v="22"/>
    <x v="28"/>
    <x v="28"/>
    <x v="28"/>
    <x v="12"/>
    <x v="242"/>
    <x v="17"/>
    <x v="36"/>
    <x v="325"/>
    <x v="185"/>
    <x v="306"/>
    <x v="4"/>
  </r>
  <r>
    <x v="0"/>
    <x v="22"/>
    <x v="22"/>
    <x v="13"/>
    <x v="13"/>
    <x v="13"/>
    <x v="13"/>
    <x v="243"/>
    <x v="278"/>
    <x v="34"/>
    <x v="326"/>
    <x v="117"/>
    <x v="307"/>
    <x v="4"/>
  </r>
  <r>
    <x v="0"/>
    <x v="22"/>
    <x v="22"/>
    <x v="8"/>
    <x v="8"/>
    <x v="8"/>
    <x v="13"/>
    <x v="243"/>
    <x v="278"/>
    <x v="36"/>
    <x v="325"/>
    <x v="200"/>
    <x v="308"/>
    <x v="4"/>
  </r>
  <r>
    <x v="0"/>
    <x v="22"/>
    <x v="22"/>
    <x v="15"/>
    <x v="15"/>
    <x v="15"/>
    <x v="15"/>
    <x v="244"/>
    <x v="241"/>
    <x v="46"/>
    <x v="324"/>
    <x v="117"/>
    <x v="307"/>
    <x v="4"/>
  </r>
  <r>
    <x v="0"/>
    <x v="22"/>
    <x v="22"/>
    <x v="12"/>
    <x v="12"/>
    <x v="12"/>
    <x v="16"/>
    <x v="245"/>
    <x v="317"/>
    <x v="35"/>
    <x v="327"/>
    <x v="199"/>
    <x v="198"/>
    <x v="4"/>
  </r>
  <r>
    <x v="0"/>
    <x v="22"/>
    <x v="22"/>
    <x v="23"/>
    <x v="23"/>
    <x v="23"/>
    <x v="16"/>
    <x v="245"/>
    <x v="317"/>
    <x v="35"/>
    <x v="327"/>
    <x v="117"/>
    <x v="307"/>
    <x v="4"/>
  </r>
  <r>
    <x v="0"/>
    <x v="22"/>
    <x v="22"/>
    <x v="16"/>
    <x v="16"/>
    <x v="16"/>
    <x v="16"/>
    <x v="245"/>
    <x v="317"/>
    <x v="35"/>
    <x v="327"/>
    <x v="199"/>
    <x v="198"/>
    <x v="4"/>
  </r>
  <r>
    <x v="0"/>
    <x v="22"/>
    <x v="22"/>
    <x v="26"/>
    <x v="26"/>
    <x v="26"/>
    <x v="19"/>
    <x v="246"/>
    <x v="318"/>
    <x v="53"/>
    <x v="38"/>
    <x v="113"/>
    <x v="242"/>
    <x v="4"/>
  </r>
  <r>
    <x v="0"/>
    <x v="22"/>
    <x v="22"/>
    <x v="32"/>
    <x v="32"/>
    <x v="32"/>
    <x v="19"/>
    <x v="246"/>
    <x v="318"/>
    <x v="34"/>
    <x v="326"/>
    <x v="201"/>
    <x v="309"/>
    <x v="4"/>
  </r>
  <r>
    <x v="0"/>
    <x v="22"/>
    <x v="22"/>
    <x v="20"/>
    <x v="20"/>
    <x v="20"/>
    <x v="19"/>
    <x v="246"/>
    <x v="318"/>
    <x v="53"/>
    <x v="38"/>
    <x v="113"/>
    <x v="242"/>
    <x v="4"/>
  </r>
  <r>
    <x v="0"/>
    <x v="23"/>
    <x v="23"/>
    <x v="0"/>
    <x v="0"/>
    <x v="0"/>
    <x v="0"/>
    <x v="247"/>
    <x v="319"/>
    <x v="164"/>
    <x v="328"/>
    <x v="155"/>
    <x v="297"/>
    <x v="4"/>
  </r>
  <r>
    <x v="0"/>
    <x v="23"/>
    <x v="23"/>
    <x v="1"/>
    <x v="1"/>
    <x v="1"/>
    <x v="1"/>
    <x v="248"/>
    <x v="320"/>
    <x v="165"/>
    <x v="329"/>
    <x v="50"/>
    <x v="51"/>
    <x v="4"/>
  </r>
  <r>
    <x v="0"/>
    <x v="23"/>
    <x v="23"/>
    <x v="6"/>
    <x v="6"/>
    <x v="6"/>
    <x v="2"/>
    <x v="249"/>
    <x v="321"/>
    <x v="127"/>
    <x v="330"/>
    <x v="202"/>
    <x v="310"/>
    <x v="4"/>
  </r>
  <r>
    <x v="0"/>
    <x v="23"/>
    <x v="23"/>
    <x v="5"/>
    <x v="5"/>
    <x v="5"/>
    <x v="3"/>
    <x v="250"/>
    <x v="224"/>
    <x v="166"/>
    <x v="331"/>
    <x v="35"/>
    <x v="311"/>
    <x v="4"/>
  </r>
  <r>
    <x v="0"/>
    <x v="23"/>
    <x v="23"/>
    <x v="3"/>
    <x v="3"/>
    <x v="3"/>
    <x v="4"/>
    <x v="135"/>
    <x v="322"/>
    <x v="26"/>
    <x v="332"/>
    <x v="203"/>
    <x v="312"/>
    <x v="4"/>
  </r>
  <r>
    <x v="0"/>
    <x v="23"/>
    <x v="23"/>
    <x v="4"/>
    <x v="4"/>
    <x v="4"/>
    <x v="5"/>
    <x v="251"/>
    <x v="323"/>
    <x v="151"/>
    <x v="333"/>
    <x v="88"/>
    <x v="43"/>
    <x v="4"/>
  </r>
  <r>
    <x v="0"/>
    <x v="23"/>
    <x v="23"/>
    <x v="2"/>
    <x v="2"/>
    <x v="2"/>
    <x v="6"/>
    <x v="252"/>
    <x v="324"/>
    <x v="133"/>
    <x v="334"/>
    <x v="204"/>
    <x v="313"/>
    <x v="4"/>
  </r>
  <r>
    <x v="0"/>
    <x v="23"/>
    <x v="23"/>
    <x v="7"/>
    <x v="7"/>
    <x v="7"/>
    <x v="7"/>
    <x v="253"/>
    <x v="325"/>
    <x v="167"/>
    <x v="335"/>
    <x v="107"/>
    <x v="82"/>
    <x v="4"/>
  </r>
  <r>
    <x v="0"/>
    <x v="23"/>
    <x v="23"/>
    <x v="8"/>
    <x v="8"/>
    <x v="8"/>
    <x v="8"/>
    <x v="174"/>
    <x v="136"/>
    <x v="168"/>
    <x v="336"/>
    <x v="104"/>
    <x v="314"/>
    <x v="4"/>
  </r>
  <r>
    <x v="0"/>
    <x v="23"/>
    <x v="23"/>
    <x v="11"/>
    <x v="11"/>
    <x v="11"/>
    <x v="9"/>
    <x v="201"/>
    <x v="326"/>
    <x v="146"/>
    <x v="191"/>
    <x v="174"/>
    <x v="103"/>
    <x v="4"/>
  </r>
  <r>
    <x v="0"/>
    <x v="23"/>
    <x v="23"/>
    <x v="9"/>
    <x v="9"/>
    <x v="9"/>
    <x v="10"/>
    <x v="88"/>
    <x v="122"/>
    <x v="150"/>
    <x v="321"/>
    <x v="65"/>
    <x v="266"/>
    <x v="1"/>
  </r>
  <r>
    <x v="0"/>
    <x v="23"/>
    <x v="23"/>
    <x v="12"/>
    <x v="12"/>
    <x v="12"/>
    <x v="11"/>
    <x v="76"/>
    <x v="31"/>
    <x v="79"/>
    <x v="337"/>
    <x v="182"/>
    <x v="315"/>
    <x v="4"/>
  </r>
  <r>
    <x v="0"/>
    <x v="23"/>
    <x v="23"/>
    <x v="17"/>
    <x v="17"/>
    <x v="17"/>
    <x v="12"/>
    <x v="177"/>
    <x v="34"/>
    <x v="35"/>
    <x v="14"/>
    <x v="182"/>
    <x v="315"/>
    <x v="4"/>
  </r>
  <r>
    <x v="0"/>
    <x v="23"/>
    <x v="23"/>
    <x v="10"/>
    <x v="10"/>
    <x v="10"/>
    <x v="12"/>
    <x v="177"/>
    <x v="34"/>
    <x v="166"/>
    <x v="331"/>
    <x v="110"/>
    <x v="316"/>
    <x v="4"/>
  </r>
  <r>
    <x v="0"/>
    <x v="23"/>
    <x v="23"/>
    <x v="15"/>
    <x v="15"/>
    <x v="15"/>
    <x v="14"/>
    <x v="216"/>
    <x v="327"/>
    <x v="73"/>
    <x v="338"/>
    <x v="96"/>
    <x v="317"/>
    <x v="4"/>
  </r>
  <r>
    <x v="0"/>
    <x v="23"/>
    <x v="23"/>
    <x v="14"/>
    <x v="14"/>
    <x v="14"/>
    <x v="15"/>
    <x v="89"/>
    <x v="233"/>
    <x v="54"/>
    <x v="67"/>
    <x v="78"/>
    <x v="318"/>
    <x v="4"/>
  </r>
  <r>
    <x v="0"/>
    <x v="23"/>
    <x v="23"/>
    <x v="13"/>
    <x v="13"/>
    <x v="13"/>
    <x v="16"/>
    <x v="62"/>
    <x v="328"/>
    <x v="103"/>
    <x v="68"/>
    <x v="65"/>
    <x v="266"/>
    <x v="4"/>
  </r>
  <r>
    <x v="0"/>
    <x v="23"/>
    <x v="23"/>
    <x v="22"/>
    <x v="22"/>
    <x v="22"/>
    <x v="17"/>
    <x v="126"/>
    <x v="94"/>
    <x v="34"/>
    <x v="339"/>
    <x v="187"/>
    <x v="319"/>
    <x v="4"/>
  </r>
  <r>
    <x v="0"/>
    <x v="23"/>
    <x v="23"/>
    <x v="19"/>
    <x v="19"/>
    <x v="19"/>
    <x v="18"/>
    <x v="111"/>
    <x v="329"/>
    <x v="53"/>
    <x v="52"/>
    <x v="149"/>
    <x v="276"/>
    <x v="4"/>
  </r>
  <r>
    <x v="0"/>
    <x v="23"/>
    <x v="23"/>
    <x v="21"/>
    <x v="21"/>
    <x v="21"/>
    <x v="19"/>
    <x v="207"/>
    <x v="144"/>
    <x v="52"/>
    <x v="51"/>
    <x v="149"/>
    <x v="276"/>
    <x v="4"/>
  </r>
  <r>
    <x v="0"/>
    <x v="24"/>
    <x v="24"/>
    <x v="0"/>
    <x v="0"/>
    <x v="0"/>
    <x v="0"/>
    <x v="254"/>
    <x v="330"/>
    <x v="169"/>
    <x v="340"/>
    <x v="108"/>
    <x v="320"/>
    <x v="1"/>
  </r>
  <r>
    <x v="0"/>
    <x v="24"/>
    <x v="24"/>
    <x v="2"/>
    <x v="2"/>
    <x v="2"/>
    <x v="1"/>
    <x v="255"/>
    <x v="331"/>
    <x v="120"/>
    <x v="341"/>
    <x v="205"/>
    <x v="321"/>
    <x v="4"/>
  </r>
  <r>
    <x v="0"/>
    <x v="24"/>
    <x v="24"/>
    <x v="1"/>
    <x v="1"/>
    <x v="1"/>
    <x v="2"/>
    <x v="256"/>
    <x v="332"/>
    <x v="106"/>
    <x v="342"/>
    <x v="74"/>
    <x v="322"/>
    <x v="4"/>
  </r>
  <r>
    <x v="0"/>
    <x v="24"/>
    <x v="24"/>
    <x v="3"/>
    <x v="3"/>
    <x v="3"/>
    <x v="3"/>
    <x v="257"/>
    <x v="87"/>
    <x v="68"/>
    <x v="343"/>
    <x v="206"/>
    <x v="323"/>
    <x v="4"/>
  </r>
  <r>
    <x v="0"/>
    <x v="24"/>
    <x v="24"/>
    <x v="9"/>
    <x v="9"/>
    <x v="9"/>
    <x v="4"/>
    <x v="50"/>
    <x v="200"/>
    <x v="31"/>
    <x v="344"/>
    <x v="100"/>
    <x v="324"/>
    <x v="4"/>
  </r>
  <r>
    <x v="0"/>
    <x v="24"/>
    <x v="24"/>
    <x v="8"/>
    <x v="8"/>
    <x v="8"/>
    <x v="5"/>
    <x v="123"/>
    <x v="101"/>
    <x v="43"/>
    <x v="345"/>
    <x v="93"/>
    <x v="65"/>
    <x v="4"/>
  </r>
  <r>
    <x v="0"/>
    <x v="24"/>
    <x v="24"/>
    <x v="5"/>
    <x v="5"/>
    <x v="5"/>
    <x v="6"/>
    <x v="258"/>
    <x v="333"/>
    <x v="103"/>
    <x v="346"/>
    <x v="207"/>
    <x v="325"/>
    <x v="4"/>
  </r>
  <r>
    <x v="0"/>
    <x v="24"/>
    <x v="24"/>
    <x v="7"/>
    <x v="7"/>
    <x v="7"/>
    <x v="7"/>
    <x v="74"/>
    <x v="334"/>
    <x v="85"/>
    <x v="347"/>
    <x v="51"/>
    <x v="326"/>
    <x v="4"/>
  </r>
  <r>
    <x v="0"/>
    <x v="24"/>
    <x v="24"/>
    <x v="4"/>
    <x v="4"/>
    <x v="4"/>
    <x v="8"/>
    <x v="215"/>
    <x v="184"/>
    <x v="83"/>
    <x v="348"/>
    <x v="60"/>
    <x v="66"/>
    <x v="4"/>
  </r>
  <r>
    <x v="0"/>
    <x v="24"/>
    <x v="24"/>
    <x v="6"/>
    <x v="6"/>
    <x v="6"/>
    <x v="9"/>
    <x v="219"/>
    <x v="171"/>
    <x v="58"/>
    <x v="349"/>
    <x v="131"/>
    <x v="327"/>
    <x v="4"/>
  </r>
  <r>
    <x v="0"/>
    <x v="24"/>
    <x v="24"/>
    <x v="10"/>
    <x v="10"/>
    <x v="10"/>
    <x v="10"/>
    <x v="97"/>
    <x v="120"/>
    <x v="129"/>
    <x v="350"/>
    <x v="80"/>
    <x v="238"/>
    <x v="4"/>
  </r>
  <r>
    <x v="0"/>
    <x v="24"/>
    <x v="24"/>
    <x v="13"/>
    <x v="13"/>
    <x v="13"/>
    <x v="11"/>
    <x v="63"/>
    <x v="335"/>
    <x v="47"/>
    <x v="99"/>
    <x v="80"/>
    <x v="238"/>
    <x v="4"/>
  </r>
  <r>
    <x v="0"/>
    <x v="24"/>
    <x v="24"/>
    <x v="14"/>
    <x v="14"/>
    <x v="14"/>
    <x v="11"/>
    <x v="63"/>
    <x v="335"/>
    <x v="53"/>
    <x v="253"/>
    <x v="197"/>
    <x v="251"/>
    <x v="4"/>
  </r>
  <r>
    <x v="0"/>
    <x v="24"/>
    <x v="24"/>
    <x v="12"/>
    <x v="12"/>
    <x v="12"/>
    <x v="13"/>
    <x v="168"/>
    <x v="336"/>
    <x v="80"/>
    <x v="116"/>
    <x v="82"/>
    <x v="328"/>
    <x v="1"/>
  </r>
  <r>
    <x v="0"/>
    <x v="24"/>
    <x v="24"/>
    <x v="11"/>
    <x v="11"/>
    <x v="11"/>
    <x v="14"/>
    <x v="128"/>
    <x v="80"/>
    <x v="59"/>
    <x v="351"/>
    <x v="81"/>
    <x v="329"/>
    <x v="4"/>
  </r>
  <r>
    <x v="0"/>
    <x v="24"/>
    <x v="24"/>
    <x v="18"/>
    <x v="18"/>
    <x v="18"/>
    <x v="15"/>
    <x v="113"/>
    <x v="191"/>
    <x v="53"/>
    <x v="253"/>
    <x v="83"/>
    <x v="330"/>
    <x v="4"/>
  </r>
  <r>
    <x v="0"/>
    <x v="24"/>
    <x v="24"/>
    <x v="23"/>
    <x v="23"/>
    <x v="23"/>
    <x v="16"/>
    <x v="114"/>
    <x v="94"/>
    <x v="34"/>
    <x v="352"/>
    <x v="67"/>
    <x v="215"/>
    <x v="4"/>
  </r>
  <r>
    <x v="0"/>
    <x v="24"/>
    <x v="24"/>
    <x v="21"/>
    <x v="21"/>
    <x v="21"/>
    <x v="16"/>
    <x v="114"/>
    <x v="94"/>
    <x v="53"/>
    <x v="253"/>
    <x v="70"/>
    <x v="9"/>
    <x v="1"/>
  </r>
  <r>
    <x v="0"/>
    <x v="24"/>
    <x v="24"/>
    <x v="20"/>
    <x v="20"/>
    <x v="20"/>
    <x v="18"/>
    <x v="101"/>
    <x v="17"/>
    <x v="35"/>
    <x v="185"/>
    <x v="110"/>
    <x v="157"/>
    <x v="4"/>
  </r>
  <r>
    <x v="0"/>
    <x v="24"/>
    <x v="24"/>
    <x v="16"/>
    <x v="16"/>
    <x v="16"/>
    <x v="18"/>
    <x v="101"/>
    <x v="17"/>
    <x v="81"/>
    <x v="293"/>
    <x v="94"/>
    <x v="16"/>
    <x v="4"/>
  </r>
  <r>
    <x v="0"/>
    <x v="25"/>
    <x v="25"/>
    <x v="0"/>
    <x v="0"/>
    <x v="0"/>
    <x v="0"/>
    <x v="259"/>
    <x v="337"/>
    <x v="170"/>
    <x v="353"/>
    <x v="55"/>
    <x v="331"/>
    <x v="4"/>
  </r>
  <r>
    <x v="0"/>
    <x v="25"/>
    <x v="25"/>
    <x v="1"/>
    <x v="1"/>
    <x v="1"/>
    <x v="1"/>
    <x v="250"/>
    <x v="338"/>
    <x v="171"/>
    <x v="354"/>
    <x v="176"/>
    <x v="332"/>
    <x v="4"/>
  </r>
  <r>
    <x v="0"/>
    <x v="25"/>
    <x v="25"/>
    <x v="2"/>
    <x v="2"/>
    <x v="2"/>
    <x v="2"/>
    <x v="141"/>
    <x v="339"/>
    <x v="67"/>
    <x v="355"/>
    <x v="208"/>
    <x v="333"/>
    <x v="4"/>
  </r>
  <r>
    <x v="0"/>
    <x v="25"/>
    <x v="25"/>
    <x v="9"/>
    <x v="9"/>
    <x v="9"/>
    <x v="3"/>
    <x v="218"/>
    <x v="340"/>
    <x v="172"/>
    <x v="356"/>
    <x v="71"/>
    <x v="69"/>
    <x v="4"/>
  </r>
  <r>
    <x v="0"/>
    <x v="25"/>
    <x v="25"/>
    <x v="5"/>
    <x v="5"/>
    <x v="5"/>
    <x v="4"/>
    <x v="212"/>
    <x v="341"/>
    <x v="79"/>
    <x v="357"/>
    <x v="209"/>
    <x v="334"/>
    <x v="4"/>
  </r>
  <r>
    <x v="0"/>
    <x v="25"/>
    <x v="25"/>
    <x v="4"/>
    <x v="4"/>
    <x v="4"/>
    <x v="5"/>
    <x v="175"/>
    <x v="167"/>
    <x v="143"/>
    <x v="358"/>
    <x v="107"/>
    <x v="335"/>
    <x v="4"/>
  </r>
  <r>
    <x v="0"/>
    <x v="25"/>
    <x v="25"/>
    <x v="8"/>
    <x v="8"/>
    <x v="8"/>
    <x v="6"/>
    <x v="260"/>
    <x v="149"/>
    <x v="105"/>
    <x v="359"/>
    <x v="95"/>
    <x v="299"/>
    <x v="4"/>
  </r>
  <r>
    <x v="0"/>
    <x v="25"/>
    <x v="25"/>
    <x v="3"/>
    <x v="3"/>
    <x v="3"/>
    <x v="7"/>
    <x v="261"/>
    <x v="342"/>
    <x v="37"/>
    <x v="360"/>
    <x v="170"/>
    <x v="166"/>
    <x v="4"/>
  </r>
  <r>
    <x v="0"/>
    <x v="25"/>
    <x v="25"/>
    <x v="7"/>
    <x v="7"/>
    <x v="7"/>
    <x v="8"/>
    <x v="60"/>
    <x v="272"/>
    <x v="84"/>
    <x v="361"/>
    <x v="114"/>
    <x v="336"/>
    <x v="4"/>
  </r>
  <r>
    <x v="0"/>
    <x v="25"/>
    <x v="25"/>
    <x v="6"/>
    <x v="6"/>
    <x v="6"/>
    <x v="9"/>
    <x v="176"/>
    <x v="249"/>
    <x v="46"/>
    <x v="362"/>
    <x v="198"/>
    <x v="337"/>
    <x v="4"/>
  </r>
  <r>
    <x v="0"/>
    <x v="25"/>
    <x v="25"/>
    <x v="10"/>
    <x v="10"/>
    <x v="10"/>
    <x v="10"/>
    <x v="262"/>
    <x v="47"/>
    <x v="103"/>
    <x v="363"/>
    <x v="71"/>
    <x v="69"/>
    <x v="4"/>
  </r>
  <r>
    <x v="0"/>
    <x v="25"/>
    <x v="25"/>
    <x v="13"/>
    <x v="13"/>
    <x v="13"/>
    <x v="11"/>
    <x v="126"/>
    <x v="343"/>
    <x v="129"/>
    <x v="364"/>
    <x v="96"/>
    <x v="114"/>
    <x v="4"/>
  </r>
  <r>
    <x v="0"/>
    <x v="25"/>
    <x v="25"/>
    <x v="11"/>
    <x v="11"/>
    <x v="11"/>
    <x v="12"/>
    <x v="77"/>
    <x v="344"/>
    <x v="18"/>
    <x v="322"/>
    <x v="71"/>
    <x v="69"/>
    <x v="4"/>
  </r>
  <r>
    <x v="0"/>
    <x v="25"/>
    <x v="25"/>
    <x v="14"/>
    <x v="14"/>
    <x v="14"/>
    <x v="13"/>
    <x v="129"/>
    <x v="231"/>
    <x v="53"/>
    <x v="171"/>
    <x v="112"/>
    <x v="338"/>
    <x v="4"/>
  </r>
  <r>
    <x v="0"/>
    <x v="25"/>
    <x v="25"/>
    <x v="12"/>
    <x v="12"/>
    <x v="12"/>
    <x v="14"/>
    <x v="92"/>
    <x v="159"/>
    <x v="47"/>
    <x v="193"/>
    <x v="86"/>
    <x v="252"/>
    <x v="4"/>
  </r>
  <r>
    <x v="0"/>
    <x v="25"/>
    <x v="25"/>
    <x v="16"/>
    <x v="16"/>
    <x v="16"/>
    <x v="15"/>
    <x v="113"/>
    <x v="143"/>
    <x v="66"/>
    <x v="365"/>
    <x v="93"/>
    <x v="339"/>
    <x v="4"/>
  </r>
  <r>
    <x v="0"/>
    <x v="25"/>
    <x v="25"/>
    <x v="22"/>
    <x v="22"/>
    <x v="22"/>
    <x v="16"/>
    <x v="82"/>
    <x v="266"/>
    <x v="38"/>
    <x v="366"/>
    <x v="110"/>
    <x v="61"/>
    <x v="4"/>
  </r>
  <r>
    <x v="0"/>
    <x v="25"/>
    <x v="25"/>
    <x v="15"/>
    <x v="15"/>
    <x v="15"/>
    <x v="17"/>
    <x v="217"/>
    <x v="66"/>
    <x v="47"/>
    <x v="193"/>
    <x v="104"/>
    <x v="340"/>
    <x v="4"/>
  </r>
  <r>
    <x v="0"/>
    <x v="25"/>
    <x v="25"/>
    <x v="19"/>
    <x v="19"/>
    <x v="19"/>
    <x v="18"/>
    <x v="83"/>
    <x v="161"/>
    <x v="54"/>
    <x v="14"/>
    <x v="81"/>
    <x v="341"/>
    <x v="4"/>
  </r>
  <r>
    <x v="0"/>
    <x v="25"/>
    <x v="25"/>
    <x v="18"/>
    <x v="18"/>
    <x v="18"/>
    <x v="19"/>
    <x v="68"/>
    <x v="345"/>
    <x v="52"/>
    <x v="51"/>
    <x v="110"/>
    <x v="61"/>
    <x v="4"/>
  </r>
  <r>
    <x v="0"/>
    <x v="26"/>
    <x v="26"/>
    <x v="0"/>
    <x v="0"/>
    <x v="0"/>
    <x v="0"/>
    <x v="173"/>
    <x v="346"/>
    <x v="173"/>
    <x v="367"/>
    <x v="74"/>
    <x v="162"/>
    <x v="4"/>
  </r>
  <r>
    <x v="0"/>
    <x v="26"/>
    <x v="26"/>
    <x v="2"/>
    <x v="2"/>
    <x v="2"/>
    <x v="1"/>
    <x v="257"/>
    <x v="347"/>
    <x v="67"/>
    <x v="368"/>
    <x v="210"/>
    <x v="342"/>
    <x v="4"/>
  </r>
  <r>
    <x v="0"/>
    <x v="26"/>
    <x v="26"/>
    <x v="1"/>
    <x v="1"/>
    <x v="1"/>
    <x v="2"/>
    <x v="263"/>
    <x v="348"/>
    <x v="91"/>
    <x v="369"/>
    <x v="104"/>
    <x v="196"/>
    <x v="4"/>
  </r>
  <r>
    <x v="0"/>
    <x v="26"/>
    <x v="26"/>
    <x v="9"/>
    <x v="9"/>
    <x v="9"/>
    <x v="3"/>
    <x v="74"/>
    <x v="349"/>
    <x v="174"/>
    <x v="370"/>
    <x v="86"/>
    <x v="343"/>
    <x v="4"/>
  </r>
  <r>
    <x v="0"/>
    <x v="26"/>
    <x v="26"/>
    <x v="8"/>
    <x v="8"/>
    <x v="8"/>
    <x v="4"/>
    <x v="264"/>
    <x v="350"/>
    <x v="32"/>
    <x v="371"/>
    <x v="85"/>
    <x v="344"/>
    <x v="4"/>
  </r>
  <r>
    <x v="0"/>
    <x v="26"/>
    <x v="26"/>
    <x v="3"/>
    <x v="3"/>
    <x v="3"/>
    <x v="5"/>
    <x v="215"/>
    <x v="269"/>
    <x v="68"/>
    <x v="241"/>
    <x v="130"/>
    <x v="345"/>
    <x v="4"/>
  </r>
  <r>
    <x v="0"/>
    <x v="26"/>
    <x v="26"/>
    <x v="4"/>
    <x v="4"/>
    <x v="4"/>
    <x v="6"/>
    <x v="52"/>
    <x v="351"/>
    <x v="121"/>
    <x v="175"/>
    <x v="80"/>
    <x v="346"/>
    <x v="4"/>
  </r>
  <r>
    <x v="0"/>
    <x v="26"/>
    <x v="26"/>
    <x v="7"/>
    <x v="7"/>
    <x v="7"/>
    <x v="7"/>
    <x v="89"/>
    <x v="342"/>
    <x v="121"/>
    <x v="175"/>
    <x v="74"/>
    <x v="162"/>
    <x v="1"/>
  </r>
  <r>
    <x v="0"/>
    <x v="26"/>
    <x v="26"/>
    <x v="10"/>
    <x v="10"/>
    <x v="10"/>
    <x v="8"/>
    <x v="55"/>
    <x v="216"/>
    <x v="88"/>
    <x v="372"/>
    <x v="96"/>
    <x v="332"/>
    <x v="4"/>
  </r>
  <r>
    <x v="0"/>
    <x v="26"/>
    <x v="26"/>
    <x v="6"/>
    <x v="6"/>
    <x v="6"/>
    <x v="9"/>
    <x v="265"/>
    <x v="352"/>
    <x v="36"/>
    <x v="373"/>
    <x v="76"/>
    <x v="347"/>
    <x v="4"/>
  </r>
  <r>
    <x v="0"/>
    <x v="26"/>
    <x v="26"/>
    <x v="5"/>
    <x v="5"/>
    <x v="5"/>
    <x v="10"/>
    <x v="56"/>
    <x v="7"/>
    <x v="51"/>
    <x v="374"/>
    <x v="65"/>
    <x v="348"/>
    <x v="4"/>
  </r>
  <r>
    <x v="0"/>
    <x v="26"/>
    <x v="26"/>
    <x v="11"/>
    <x v="11"/>
    <x v="11"/>
    <x v="11"/>
    <x v="92"/>
    <x v="206"/>
    <x v="45"/>
    <x v="375"/>
    <x v="104"/>
    <x v="196"/>
    <x v="4"/>
  </r>
  <r>
    <x v="0"/>
    <x v="26"/>
    <x v="26"/>
    <x v="12"/>
    <x v="12"/>
    <x v="12"/>
    <x v="12"/>
    <x v="82"/>
    <x v="353"/>
    <x v="68"/>
    <x v="241"/>
    <x v="93"/>
    <x v="70"/>
    <x v="4"/>
  </r>
  <r>
    <x v="0"/>
    <x v="26"/>
    <x v="26"/>
    <x v="25"/>
    <x v="25"/>
    <x v="25"/>
    <x v="13"/>
    <x v="69"/>
    <x v="232"/>
    <x v="52"/>
    <x v="51"/>
    <x v="110"/>
    <x v="349"/>
    <x v="4"/>
  </r>
  <r>
    <x v="0"/>
    <x v="26"/>
    <x v="26"/>
    <x v="13"/>
    <x v="13"/>
    <x v="13"/>
    <x v="14"/>
    <x v="116"/>
    <x v="191"/>
    <x v="38"/>
    <x v="376"/>
    <x v="103"/>
    <x v="350"/>
    <x v="1"/>
  </r>
  <r>
    <x v="0"/>
    <x v="26"/>
    <x v="26"/>
    <x v="21"/>
    <x v="21"/>
    <x v="21"/>
    <x v="14"/>
    <x v="116"/>
    <x v="191"/>
    <x v="44"/>
    <x v="377"/>
    <x v="95"/>
    <x v="318"/>
    <x v="4"/>
  </r>
  <r>
    <x v="0"/>
    <x v="26"/>
    <x v="26"/>
    <x v="16"/>
    <x v="16"/>
    <x v="16"/>
    <x v="16"/>
    <x v="117"/>
    <x v="354"/>
    <x v="47"/>
    <x v="378"/>
    <x v="66"/>
    <x v="240"/>
    <x v="4"/>
  </r>
  <r>
    <x v="0"/>
    <x v="26"/>
    <x v="26"/>
    <x v="18"/>
    <x v="18"/>
    <x v="18"/>
    <x v="16"/>
    <x v="117"/>
    <x v="354"/>
    <x v="53"/>
    <x v="67"/>
    <x v="68"/>
    <x v="81"/>
    <x v="1"/>
  </r>
  <r>
    <x v="0"/>
    <x v="26"/>
    <x v="26"/>
    <x v="20"/>
    <x v="20"/>
    <x v="20"/>
    <x v="18"/>
    <x v="105"/>
    <x v="18"/>
    <x v="35"/>
    <x v="69"/>
    <x v="92"/>
    <x v="351"/>
    <x v="4"/>
  </r>
  <r>
    <x v="0"/>
    <x v="26"/>
    <x v="26"/>
    <x v="14"/>
    <x v="14"/>
    <x v="14"/>
    <x v="18"/>
    <x v="105"/>
    <x v="18"/>
    <x v="52"/>
    <x v="51"/>
    <x v="68"/>
    <x v="81"/>
    <x v="4"/>
  </r>
  <r>
    <x v="0"/>
    <x v="27"/>
    <x v="27"/>
    <x v="1"/>
    <x v="1"/>
    <x v="1"/>
    <x v="0"/>
    <x v="266"/>
    <x v="355"/>
    <x v="115"/>
    <x v="379"/>
    <x v="85"/>
    <x v="305"/>
    <x v="4"/>
  </r>
  <r>
    <x v="0"/>
    <x v="27"/>
    <x v="27"/>
    <x v="0"/>
    <x v="0"/>
    <x v="0"/>
    <x v="1"/>
    <x v="73"/>
    <x v="356"/>
    <x v="175"/>
    <x v="380"/>
    <x v="106"/>
    <x v="352"/>
    <x v="4"/>
  </r>
  <r>
    <x v="0"/>
    <x v="27"/>
    <x v="27"/>
    <x v="2"/>
    <x v="2"/>
    <x v="2"/>
    <x v="2"/>
    <x v="176"/>
    <x v="357"/>
    <x v="108"/>
    <x v="381"/>
    <x v="67"/>
    <x v="353"/>
    <x v="4"/>
  </r>
  <r>
    <x v="0"/>
    <x v="27"/>
    <x v="27"/>
    <x v="4"/>
    <x v="4"/>
    <x v="4"/>
    <x v="3"/>
    <x v="177"/>
    <x v="358"/>
    <x v="101"/>
    <x v="382"/>
    <x v="71"/>
    <x v="354"/>
    <x v="4"/>
  </r>
  <r>
    <x v="0"/>
    <x v="27"/>
    <x v="27"/>
    <x v="7"/>
    <x v="7"/>
    <x v="7"/>
    <x v="4"/>
    <x v="53"/>
    <x v="359"/>
    <x v="138"/>
    <x v="383"/>
    <x v="85"/>
    <x v="305"/>
    <x v="4"/>
  </r>
  <r>
    <x v="0"/>
    <x v="27"/>
    <x v="27"/>
    <x v="3"/>
    <x v="3"/>
    <x v="3"/>
    <x v="5"/>
    <x v="54"/>
    <x v="360"/>
    <x v="73"/>
    <x v="262"/>
    <x v="86"/>
    <x v="302"/>
    <x v="4"/>
  </r>
  <r>
    <x v="0"/>
    <x v="27"/>
    <x v="27"/>
    <x v="5"/>
    <x v="5"/>
    <x v="5"/>
    <x v="6"/>
    <x v="79"/>
    <x v="361"/>
    <x v="101"/>
    <x v="382"/>
    <x v="102"/>
    <x v="355"/>
    <x v="4"/>
  </r>
  <r>
    <x v="0"/>
    <x v="27"/>
    <x v="27"/>
    <x v="9"/>
    <x v="9"/>
    <x v="9"/>
    <x v="7"/>
    <x v="95"/>
    <x v="46"/>
    <x v="79"/>
    <x v="277"/>
    <x v="151"/>
    <x v="288"/>
    <x v="4"/>
  </r>
  <r>
    <x v="0"/>
    <x v="27"/>
    <x v="27"/>
    <x v="27"/>
    <x v="27"/>
    <x v="27"/>
    <x v="8"/>
    <x v="114"/>
    <x v="10"/>
    <x v="45"/>
    <x v="384"/>
    <x v="91"/>
    <x v="242"/>
    <x v="4"/>
  </r>
  <r>
    <x v="0"/>
    <x v="27"/>
    <x v="27"/>
    <x v="26"/>
    <x v="26"/>
    <x v="26"/>
    <x v="9"/>
    <x v="84"/>
    <x v="362"/>
    <x v="36"/>
    <x v="385"/>
    <x v="94"/>
    <x v="296"/>
    <x v="4"/>
  </r>
  <r>
    <x v="0"/>
    <x v="27"/>
    <x v="27"/>
    <x v="11"/>
    <x v="11"/>
    <x v="11"/>
    <x v="10"/>
    <x v="104"/>
    <x v="80"/>
    <x v="79"/>
    <x v="277"/>
    <x v="151"/>
    <x v="288"/>
    <x v="4"/>
  </r>
  <r>
    <x v="0"/>
    <x v="27"/>
    <x v="27"/>
    <x v="12"/>
    <x v="12"/>
    <x v="12"/>
    <x v="10"/>
    <x v="104"/>
    <x v="80"/>
    <x v="81"/>
    <x v="386"/>
    <x v="106"/>
    <x v="352"/>
    <x v="4"/>
  </r>
  <r>
    <x v="0"/>
    <x v="27"/>
    <x v="27"/>
    <x v="13"/>
    <x v="13"/>
    <x v="13"/>
    <x v="12"/>
    <x v="105"/>
    <x v="105"/>
    <x v="38"/>
    <x v="387"/>
    <x v="102"/>
    <x v="355"/>
    <x v="4"/>
  </r>
  <r>
    <x v="0"/>
    <x v="27"/>
    <x v="27"/>
    <x v="6"/>
    <x v="6"/>
    <x v="6"/>
    <x v="13"/>
    <x v="118"/>
    <x v="33"/>
    <x v="34"/>
    <x v="366"/>
    <x v="77"/>
    <x v="356"/>
    <x v="4"/>
  </r>
  <r>
    <x v="0"/>
    <x v="27"/>
    <x v="27"/>
    <x v="28"/>
    <x v="28"/>
    <x v="28"/>
    <x v="14"/>
    <x v="267"/>
    <x v="34"/>
    <x v="68"/>
    <x v="254"/>
    <x v="116"/>
    <x v="198"/>
    <x v="4"/>
  </r>
  <r>
    <x v="0"/>
    <x v="27"/>
    <x v="27"/>
    <x v="24"/>
    <x v="24"/>
    <x v="24"/>
    <x v="15"/>
    <x v="226"/>
    <x v="354"/>
    <x v="61"/>
    <x v="365"/>
    <x v="105"/>
    <x v="357"/>
    <x v="4"/>
  </r>
  <r>
    <x v="0"/>
    <x v="27"/>
    <x v="27"/>
    <x v="8"/>
    <x v="8"/>
    <x v="8"/>
    <x v="16"/>
    <x v="119"/>
    <x v="254"/>
    <x v="81"/>
    <x v="386"/>
    <x v="113"/>
    <x v="115"/>
    <x v="4"/>
  </r>
  <r>
    <x v="0"/>
    <x v="27"/>
    <x v="27"/>
    <x v="15"/>
    <x v="15"/>
    <x v="15"/>
    <x v="16"/>
    <x v="119"/>
    <x v="254"/>
    <x v="81"/>
    <x v="386"/>
    <x v="113"/>
    <x v="115"/>
    <x v="4"/>
  </r>
  <r>
    <x v="0"/>
    <x v="27"/>
    <x v="27"/>
    <x v="20"/>
    <x v="20"/>
    <x v="20"/>
    <x v="18"/>
    <x v="107"/>
    <x v="363"/>
    <x v="44"/>
    <x v="75"/>
    <x v="66"/>
    <x v="35"/>
    <x v="4"/>
  </r>
  <r>
    <x v="0"/>
    <x v="27"/>
    <x v="27"/>
    <x v="10"/>
    <x v="10"/>
    <x v="10"/>
    <x v="18"/>
    <x v="107"/>
    <x v="363"/>
    <x v="86"/>
    <x v="388"/>
    <x v="113"/>
    <x v="115"/>
    <x v="4"/>
  </r>
  <r>
    <x v="0"/>
    <x v="28"/>
    <x v="28"/>
    <x v="0"/>
    <x v="0"/>
    <x v="0"/>
    <x v="0"/>
    <x v="86"/>
    <x v="364"/>
    <x v="48"/>
    <x v="389"/>
    <x v="84"/>
    <x v="355"/>
    <x v="4"/>
  </r>
  <r>
    <x v="0"/>
    <x v="28"/>
    <x v="28"/>
    <x v="1"/>
    <x v="1"/>
    <x v="1"/>
    <x v="1"/>
    <x v="174"/>
    <x v="365"/>
    <x v="112"/>
    <x v="390"/>
    <x v="92"/>
    <x v="160"/>
    <x v="4"/>
  </r>
  <r>
    <x v="0"/>
    <x v="28"/>
    <x v="28"/>
    <x v="5"/>
    <x v="5"/>
    <x v="5"/>
    <x v="2"/>
    <x v="213"/>
    <x v="366"/>
    <x v="80"/>
    <x v="391"/>
    <x v="148"/>
    <x v="358"/>
    <x v="4"/>
  </r>
  <r>
    <x v="0"/>
    <x v="28"/>
    <x v="28"/>
    <x v="3"/>
    <x v="3"/>
    <x v="3"/>
    <x v="3"/>
    <x v="268"/>
    <x v="367"/>
    <x v="80"/>
    <x v="391"/>
    <x v="211"/>
    <x v="359"/>
    <x v="4"/>
  </r>
  <r>
    <x v="0"/>
    <x v="28"/>
    <x v="28"/>
    <x v="8"/>
    <x v="8"/>
    <x v="8"/>
    <x v="4"/>
    <x v="269"/>
    <x v="368"/>
    <x v="128"/>
    <x v="392"/>
    <x v="99"/>
    <x v="101"/>
    <x v="4"/>
  </r>
  <r>
    <x v="0"/>
    <x v="28"/>
    <x v="28"/>
    <x v="6"/>
    <x v="6"/>
    <x v="6"/>
    <x v="5"/>
    <x v="216"/>
    <x v="42"/>
    <x v="36"/>
    <x v="393"/>
    <x v="184"/>
    <x v="77"/>
    <x v="4"/>
  </r>
  <r>
    <x v="0"/>
    <x v="28"/>
    <x v="28"/>
    <x v="4"/>
    <x v="4"/>
    <x v="4"/>
    <x v="6"/>
    <x v="110"/>
    <x v="369"/>
    <x v="133"/>
    <x v="394"/>
    <x v="101"/>
    <x v="161"/>
    <x v="4"/>
  </r>
  <r>
    <x v="0"/>
    <x v="28"/>
    <x v="28"/>
    <x v="2"/>
    <x v="2"/>
    <x v="2"/>
    <x v="7"/>
    <x v="265"/>
    <x v="370"/>
    <x v="86"/>
    <x v="330"/>
    <x v="188"/>
    <x v="360"/>
    <x v="4"/>
  </r>
  <r>
    <x v="0"/>
    <x v="28"/>
    <x v="28"/>
    <x v="9"/>
    <x v="9"/>
    <x v="9"/>
    <x v="8"/>
    <x v="168"/>
    <x v="371"/>
    <x v="125"/>
    <x v="395"/>
    <x v="103"/>
    <x v="215"/>
    <x v="4"/>
  </r>
  <r>
    <x v="0"/>
    <x v="28"/>
    <x v="28"/>
    <x v="7"/>
    <x v="7"/>
    <x v="7"/>
    <x v="9"/>
    <x v="207"/>
    <x v="372"/>
    <x v="125"/>
    <x v="395"/>
    <x v="102"/>
    <x v="361"/>
    <x v="4"/>
  </r>
  <r>
    <x v="0"/>
    <x v="28"/>
    <x v="28"/>
    <x v="22"/>
    <x v="22"/>
    <x v="22"/>
    <x v="10"/>
    <x v="113"/>
    <x v="139"/>
    <x v="58"/>
    <x v="163"/>
    <x v="84"/>
    <x v="355"/>
    <x v="4"/>
  </r>
  <r>
    <x v="0"/>
    <x v="28"/>
    <x v="28"/>
    <x v="10"/>
    <x v="10"/>
    <x v="10"/>
    <x v="10"/>
    <x v="113"/>
    <x v="139"/>
    <x v="80"/>
    <x v="391"/>
    <x v="92"/>
    <x v="160"/>
    <x v="4"/>
  </r>
  <r>
    <x v="0"/>
    <x v="28"/>
    <x v="28"/>
    <x v="12"/>
    <x v="12"/>
    <x v="12"/>
    <x v="12"/>
    <x v="217"/>
    <x v="373"/>
    <x v="34"/>
    <x v="396"/>
    <x v="70"/>
    <x v="362"/>
    <x v="4"/>
  </r>
  <r>
    <x v="0"/>
    <x v="28"/>
    <x v="28"/>
    <x v="14"/>
    <x v="14"/>
    <x v="14"/>
    <x v="13"/>
    <x v="83"/>
    <x v="274"/>
    <x v="35"/>
    <x v="397"/>
    <x v="84"/>
    <x v="355"/>
    <x v="4"/>
  </r>
  <r>
    <x v="0"/>
    <x v="28"/>
    <x v="28"/>
    <x v="11"/>
    <x v="11"/>
    <x v="11"/>
    <x v="14"/>
    <x v="68"/>
    <x v="265"/>
    <x v="68"/>
    <x v="258"/>
    <x v="85"/>
    <x v="174"/>
    <x v="4"/>
  </r>
  <r>
    <x v="0"/>
    <x v="28"/>
    <x v="28"/>
    <x v="17"/>
    <x v="17"/>
    <x v="17"/>
    <x v="15"/>
    <x v="116"/>
    <x v="221"/>
    <x v="53"/>
    <x v="95"/>
    <x v="63"/>
    <x v="315"/>
    <x v="4"/>
  </r>
  <r>
    <x v="0"/>
    <x v="28"/>
    <x v="28"/>
    <x v="18"/>
    <x v="18"/>
    <x v="18"/>
    <x v="16"/>
    <x v="117"/>
    <x v="374"/>
    <x v="52"/>
    <x v="51"/>
    <x v="63"/>
    <x v="315"/>
    <x v="4"/>
  </r>
  <r>
    <x v="0"/>
    <x v="28"/>
    <x v="28"/>
    <x v="33"/>
    <x v="33"/>
    <x v="33"/>
    <x v="17"/>
    <x v="102"/>
    <x v="375"/>
    <x v="58"/>
    <x v="163"/>
    <x v="97"/>
    <x v="87"/>
    <x v="4"/>
  </r>
  <r>
    <x v="0"/>
    <x v="28"/>
    <x v="28"/>
    <x v="16"/>
    <x v="16"/>
    <x v="16"/>
    <x v="18"/>
    <x v="105"/>
    <x v="67"/>
    <x v="36"/>
    <x v="393"/>
    <x v="99"/>
    <x v="101"/>
    <x v="4"/>
  </r>
  <r>
    <x v="0"/>
    <x v="28"/>
    <x v="28"/>
    <x v="15"/>
    <x v="15"/>
    <x v="15"/>
    <x v="18"/>
    <x v="105"/>
    <x v="67"/>
    <x v="37"/>
    <x v="254"/>
    <x v="150"/>
    <x v="363"/>
    <x v="4"/>
  </r>
  <r>
    <x v="0"/>
    <x v="29"/>
    <x v="29"/>
    <x v="1"/>
    <x v="1"/>
    <x v="1"/>
    <x v="0"/>
    <x v="270"/>
    <x v="376"/>
    <x v="176"/>
    <x v="398"/>
    <x v="110"/>
    <x v="364"/>
    <x v="4"/>
  </r>
  <r>
    <x v="0"/>
    <x v="29"/>
    <x v="29"/>
    <x v="0"/>
    <x v="0"/>
    <x v="0"/>
    <x v="1"/>
    <x v="220"/>
    <x v="377"/>
    <x v="177"/>
    <x v="143"/>
    <x v="104"/>
    <x v="130"/>
    <x v="4"/>
  </r>
  <r>
    <x v="0"/>
    <x v="29"/>
    <x v="29"/>
    <x v="2"/>
    <x v="2"/>
    <x v="2"/>
    <x v="2"/>
    <x v="260"/>
    <x v="378"/>
    <x v="78"/>
    <x v="399"/>
    <x v="212"/>
    <x v="365"/>
    <x v="4"/>
  </r>
  <r>
    <x v="0"/>
    <x v="29"/>
    <x v="29"/>
    <x v="3"/>
    <x v="3"/>
    <x v="3"/>
    <x v="3"/>
    <x v="271"/>
    <x v="379"/>
    <x v="74"/>
    <x v="400"/>
    <x v="50"/>
    <x v="255"/>
    <x v="4"/>
  </r>
  <r>
    <x v="0"/>
    <x v="29"/>
    <x v="29"/>
    <x v="4"/>
    <x v="4"/>
    <x v="4"/>
    <x v="4"/>
    <x v="272"/>
    <x v="380"/>
    <x v="74"/>
    <x v="400"/>
    <x v="58"/>
    <x v="366"/>
    <x v="4"/>
  </r>
  <r>
    <x v="0"/>
    <x v="29"/>
    <x v="29"/>
    <x v="5"/>
    <x v="5"/>
    <x v="5"/>
    <x v="5"/>
    <x v="273"/>
    <x v="381"/>
    <x v="122"/>
    <x v="401"/>
    <x v="60"/>
    <x v="367"/>
    <x v="4"/>
  </r>
  <r>
    <x v="0"/>
    <x v="29"/>
    <x v="29"/>
    <x v="6"/>
    <x v="6"/>
    <x v="6"/>
    <x v="6"/>
    <x v="202"/>
    <x v="382"/>
    <x v="68"/>
    <x v="12"/>
    <x v="98"/>
    <x v="368"/>
    <x v="4"/>
  </r>
  <r>
    <x v="0"/>
    <x v="29"/>
    <x v="29"/>
    <x v="9"/>
    <x v="9"/>
    <x v="9"/>
    <x v="7"/>
    <x v="127"/>
    <x v="383"/>
    <x v="83"/>
    <x v="205"/>
    <x v="115"/>
    <x v="99"/>
    <x v="4"/>
  </r>
  <r>
    <x v="0"/>
    <x v="29"/>
    <x v="29"/>
    <x v="11"/>
    <x v="11"/>
    <x v="11"/>
    <x v="8"/>
    <x v="274"/>
    <x v="372"/>
    <x v="147"/>
    <x v="402"/>
    <x v="110"/>
    <x v="364"/>
    <x v="4"/>
  </r>
  <r>
    <x v="0"/>
    <x v="29"/>
    <x v="29"/>
    <x v="7"/>
    <x v="7"/>
    <x v="7"/>
    <x v="9"/>
    <x v="168"/>
    <x v="204"/>
    <x v="97"/>
    <x v="372"/>
    <x v="85"/>
    <x v="146"/>
    <x v="4"/>
  </r>
  <r>
    <x v="0"/>
    <x v="29"/>
    <x v="29"/>
    <x v="8"/>
    <x v="8"/>
    <x v="8"/>
    <x v="10"/>
    <x v="111"/>
    <x v="10"/>
    <x v="119"/>
    <x v="307"/>
    <x v="113"/>
    <x v="369"/>
    <x v="4"/>
  </r>
  <r>
    <x v="0"/>
    <x v="29"/>
    <x v="29"/>
    <x v="12"/>
    <x v="12"/>
    <x v="12"/>
    <x v="11"/>
    <x v="82"/>
    <x v="384"/>
    <x v="61"/>
    <x v="85"/>
    <x v="74"/>
    <x v="370"/>
    <x v="4"/>
  </r>
  <r>
    <x v="0"/>
    <x v="29"/>
    <x v="29"/>
    <x v="15"/>
    <x v="15"/>
    <x v="15"/>
    <x v="12"/>
    <x v="68"/>
    <x v="385"/>
    <x v="51"/>
    <x v="403"/>
    <x v="105"/>
    <x v="274"/>
    <x v="4"/>
  </r>
  <r>
    <x v="0"/>
    <x v="29"/>
    <x v="29"/>
    <x v="17"/>
    <x v="17"/>
    <x v="17"/>
    <x v="13"/>
    <x v="84"/>
    <x v="375"/>
    <x v="54"/>
    <x v="38"/>
    <x v="63"/>
    <x v="371"/>
    <x v="4"/>
  </r>
  <r>
    <x v="0"/>
    <x v="29"/>
    <x v="29"/>
    <x v="10"/>
    <x v="10"/>
    <x v="10"/>
    <x v="14"/>
    <x v="117"/>
    <x v="52"/>
    <x v="80"/>
    <x v="404"/>
    <x v="116"/>
    <x v="372"/>
    <x v="4"/>
  </r>
  <r>
    <x v="0"/>
    <x v="29"/>
    <x v="29"/>
    <x v="18"/>
    <x v="18"/>
    <x v="18"/>
    <x v="15"/>
    <x v="103"/>
    <x v="162"/>
    <x v="52"/>
    <x v="51"/>
    <x v="104"/>
    <x v="130"/>
    <x v="1"/>
  </r>
  <r>
    <x v="0"/>
    <x v="29"/>
    <x v="29"/>
    <x v="14"/>
    <x v="14"/>
    <x v="14"/>
    <x v="16"/>
    <x v="203"/>
    <x v="286"/>
    <x v="53"/>
    <x v="171"/>
    <x v="103"/>
    <x v="242"/>
    <x v="4"/>
  </r>
  <r>
    <x v="0"/>
    <x v="29"/>
    <x v="29"/>
    <x v="34"/>
    <x v="34"/>
    <x v="34"/>
    <x v="16"/>
    <x v="203"/>
    <x v="286"/>
    <x v="46"/>
    <x v="405"/>
    <x v="102"/>
    <x v="241"/>
    <x v="4"/>
  </r>
  <r>
    <x v="0"/>
    <x v="29"/>
    <x v="29"/>
    <x v="28"/>
    <x v="28"/>
    <x v="28"/>
    <x v="18"/>
    <x v="226"/>
    <x v="386"/>
    <x v="61"/>
    <x v="85"/>
    <x v="116"/>
    <x v="372"/>
    <x v="1"/>
  </r>
  <r>
    <x v="0"/>
    <x v="29"/>
    <x v="29"/>
    <x v="19"/>
    <x v="19"/>
    <x v="19"/>
    <x v="19"/>
    <x v="169"/>
    <x v="317"/>
    <x v="54"/>
    <x v="38"/>
    <x v="99"/>
    <x v="373"/>
    <x v="4"/>
  </r>
  <r>
    <x v="0"/>
    <x v="30"/>
    <x v="30"/>
    <x v="0"/>
    <x v="0"/>
    <x v="0"/>
    <x v="0"/>
    <x v="88"/>
    <x v="387"/>
    <x v="178"/>
    <x v="406"/>
    <x v="105"/>
    <x v="373"/>
    <x v="4"/>
  </r>
  <r>
    <x v="0"/>
    <x v="30"/>
    <x v="30"/>
    <x v="1"/>
    <x v="1"/>
    <x v="1"/>
    <x v="1"/>
    <x v="215"/>
    <x v="388"/>
    <x v="179"/>
    <x v="407"/>
    <x v="105"/>
    <x v="373"/>
    <x v="4"/>
  </r>
  <r>
    <x v="0"/>
    <x v="30"/>
    <x v="30"/>
    <x v="3"/>
    <x v="3"/>
    <x v="3"/>
    <x v="2"/>
    <x v="96"/>
    <x v="389"/>
    <x v="95"/>
    <x v="408"/>
    <x v="60"/>
    <x v="374"/>
    <x v="4"/>
  </r>
  <r>
    <x v="0"/>
    <x v="30"/>
    <x v="30"/>
    <x v="5"/>
    <x v="5"/>
    <x v="5"/>
    <x v="3"/>
    <x v="62"/>
    <x v="390"/>
    <x v="125"/>
    <x v="409"/>
    <x v="82"/>
    <x v="375"/>
    <x v="4"/>
  </r>
  <r>
    <x v="0"/>
    <x v="30"/>
    <x v="30"/>
    <x v="4"/>
    <x v="4"/>
    <x v="4"/>
    <x v="4"/>
    <x v="54"/>
    <x v="391"/>
    <x v="122"/>
    <x v="410"/>
    <x v="72"/>
    <x v="376"/>
    <x v="4"/>
  </r>
  <r>
    <x v="0"/>
    <x v="30"/>
    <x v="30"/>
    <x v="7"/>
    <x v="7"/>
    <x v="7"/>
    <x v="5"/>
    <x v="98"/>
    <x v="360"/>
    <x v="101"/>
    <x v="411"/>
    <x v="104"/>
    <x v="377"/>
    <x v="4"/>
  </r>
  <r>
    <x v="0"/>
    <x v="30"/>
    <x v="30"/>
    <x v="6"/>
    <x v="6"/>
    <x v="6"/>
    <x v="6"/>
    <x v="207"/>
    <x v="392"/>
    <x v="86"/>
    <x v="68"/>
    <x v="114"/>
    <x v="378"/>
    <x v="4"/>
  </r>
  <r>
    <x v="0"/>
    <x v="30"/>
    <x v="30"/>
    <x v="11"/>
    <x v="11"/>
    <x v="11"/>
    <x v="7"/>
    <x v="117"/>
    <x v="307"/>
    <x v="47"/>
    <x v="162"/>
    <x v="66"/>
    <x v="379"/>
    <x v="4"/>
  </r>
  <r>
    <x v="0"/>
    <x v="30"/>
    <x v="30"/>
    <x v="8"/>
    <x v="8"/>
    <x v="8"/>
    <x v="8"/>
    <x v="103"/>
    <x v="79"/>
    <x v="129"/>
    <x v="412"/>
    <x v="201"/>
    <x v="309"/>
    <x v="4"/>
  </r>
  <r>
    <x v="0"/>
    <x v="30"/>
    <x v="30"/>
    <x v="18"/>
    <x v="18"/>
    <x v="18"/>
    <x v="9"/>
    <x v="105"/>
    <x v="274"/>
    <x v="52"/>
    <x v="51"/>
    <x v="104"/>
    <x v="377"/>
    <x v="4"/>
  </r>
  <r>
    <x v="0"/>
    <x v="30"/>
    <x v="30"/>
    <x v="13"/>
    <x v="13"/>
    <x v="13"/>
    <x v="10"/>
    <x v="118"/>
    <x v="32"/>
    <x v="81"/>
    <x v="404"/>
    <x v="150"/>
    <x v="380"/>
    <x v="4"/>
  </r>
  <r>
    <x v="0"/>
    <x v="30"/>
    <x v="30"/>
    <x v="15"/>
    <x v="15"/>
    <x v="15"/>
    <x v="10"/>
    <x v="118"/>
    <x v="32"/>
    <x v="79"/>
    <x v="413"/>
    <x v="113"/>
    <x v="316"/>
    <x v="4"/>
  </r>
  <r>
    <x v="0"/>
    <x v="30"/>
    <x v="30"/>
    <x v="12"/>
    <x v="12"/>
    <x v="12"/>
    <x v="12"/>
    <x v="106"/>
    <x v="33"/>
    <x v="86"/>
    <x v="68"/>
    <x v="91"/>
    <x v="38"/>
    <x v="4"/>
  </r>
  <r>
    <x v="0"/>
    <x v="30"/>
    <x v="30"/>
    <x v="28"/>
    <x v="28"/>
    <x v="28"/>
    <x v="12"/>
    <x v="106"/>
    <x v="33"/>
    <x v="37"/>
    <x v="414"/>
    <x v="116"/>
    <x v="191"/>
    <x v="4"/>
  </r>
  <r>
    <x v="0"/>
    <x v="30"/>
    <x v="30"/>
    <x v="9"/>
    <x v="9"/>
    <x v="9"/>
    <x v="12"/>
    <x v="106"/>
    <x v="33"/>
    <x v="68"/>
    <x v="415"/>
    <x v="118"/>
    <x v="381"/>
    <x v="4"/>
  </r>
  <r>
    <x v="0"/>
    <x v="30"/>
    <x v="30"/>
    <x v="26"/>
    <x v="26"/>
    <x v="26"/>
    <x v="15"/>
    <x v="203"/>
    <x v="190"/>
    <x v="38"/>
    <x v="343"/>
    <x v="150"/>
    <x v="380"/>
    <x v="4"/>
  </r>
  <r>
    <x v="0"/>
    <x v="30"/>
    <x v="30"/>
    <x v="2"/>
    <x v="2"/>
    <x v="2"/>
    <x v="16"/>
    <x v="226"/>
    <x v="327"/>
    <x v="38"/>
    <x v="343"/>
    <x v="91"/>
    <x v="38"/>
    <x v="4"/>
  </r>
  <r>
    <x v="0"/>
    <x v="30"/>
    <x v="30"/>
    <x v="27"/>
    <x v="27"/>
    <x v="27"/>
    <x v="16"/>
    <x v="226"/>
    <x v="327"/>
    <x v="61"/>
    <x v="357"/>
    <x v="105"/>
    <x v="373"/>
    <x v="4"/>
  </r>
  <r>
    <x v="0"/>
    <x v="30"/>
    <x v="30"/>
    <x v="10"/>
    <x v="10"/>
    <x v="10"/>
    <x v="18"/>
    <x v="119"/>
    <x v="160"/>
    <x v="81"/>
    <x v="404"/>
    <x v="113"/>
    <x v="316"/>
    <x v="4"/>
  </r>
  <r>
    <x v="0"/>
    <x v="30"/>
    <x v="30"/>
    <x v="35"/>
    <x v="35"/>
    <x v="35"/>
    <x v="19"/>
    <x v="108"/>
    <x v="17"/>
    <x v="38"/>
    <x v="343"/>
    <x v="118"/>
    <x v="381"/>
    <x v="4"/>
  </r>
  <r>
    <x v="0"/>
    <x v="31"/>
    <x v="31"/>
    <x v="2"/>
    <x v="2"/>
    <x v="2"/>
    <x v="0"/>
    <x v="275"/>
    <x v="393"/>
    <x v="45"/>
    <x v="416"/>
    <x v="204"/>
    <x v="382"/>
    <x v="4"/>
  </r>
  <r>
    <x v="0"/>
    <x v="31"/>
    <x v="31"/>
    <x v="0"/>
    <x v="0"/>
    <x v="0"/>
    <x v="1"/>
    <x v="160"/>
    <x v="394"/>
    <x v="168"/>
    <x v="417"/>
    <x v="187"/>
    <x v="383"/>
    <x v="4"/>
  </r>
  <r>
    <x v="0"/>
    <x v="31"/>
    <x v="31"/>
    <x v="1"/>
    <x v="1"/>
    <x v="1"/>
    <x v="2"/>
    <x v="276"/>
    <x v="395"/>
    <x v="91"/>
    <x v="158"/>
    <x v="51"/>
    <x v="384"/>
    <x v="4"/>
  </r>
  <r>
    <x v="0"/>
    <x v="31"/>
    <x v="31"/>
    <x v="10"/>
    <x v="10"/>
    <x v="10"/>
    <x v="3"/>
    <x v="271"/>
    <x v="302"/>
    <x v="129"/>
    <x v="418"/>
    <x v="213"/>
    <x v="385"/>
    <x v="4"/>
  </r>
  <r>
    <x v="0"/>
    <x v="31"/>
    <x v="31"/>
    <x v="4"/>
    <x v="4"/>
    <x v="4"/>
    <x v="4"/>
    <x v="96"/>
    <x v="396"/>
    <x v="127"/>
    <x v="307"/>
    <x v="188"/>
    <x v="96"/>
    <x v="1"/>
  </r>
  <r>
    <x v="0"/>
    <x v="31"/>
    <x v="31"/>
    <x v="5"/>
    <x v="5"/>
    <x v="5"/>
    <x v="5"/>
    <x v="269"/>
    <x v="8"/>
    <x v="46"/>
    <x v="113"/>
    <x v="174"/>
    <x v="331"/>
    <x v="4"/>
  </r>
  <r>
    <x v="0"/>
    <x v="31"/>
    <x v="31"/>
    <x v="8"/>
    <x v="8"/>
    <x v="8"/>
    <x v="6"/>
    <x v="146"/>
    <x v="397"/>
    <x v="128"/>
    <x v="419"/>
    <x v="102"/>
    <x v="275"/>
    <x v="4"/>
  </r>
  <r>
    <x v="0"/>
    <x v="31"/>
    <x v="31"/>
    <x v="9"/>
    <x v="9"/>
    <x v="9"/>
    <x v="7"/>
    <x v="216"/>
    <x v="398"/>
    <x v="74"/>
    <x v="420"/>
    <x v="109"/>
    <x v="318"/>
    <x v="1"/>
  </r>
  <r>
    <x v="0"/>
    <x v="31"/>
    <x v="31"/>
    <x v="3"/>
    <x v="3"/>
    <x v="3"/>
    <x v="8"/>
    <x v="97"/>
    <x v="217"/>
    <x v="35"/>
    <x v="75"/>
    <x v="111"/>
    <x v="386"/>
    <x v="4"/>
  </r>
  <r>
    <x v="0"/>
    <x v="31"/>
    <x v="31"/>
    <x v="17"/>
    <x v="17"/>
    <x v="17"/>
    <x v="9"/>
    <x v="55"/>
    <x v="399"/>
    <x v="54"/>
    <x v="339"/>
    <x v="214"/>
    <x v="387"/>
    <x v="4"/>
  </r>
  <r>
    <x v="0"/>
    <x v="31"/>
    <x v="31"/>
    <x v="7"/>
    <x v="7"/>
    <x v="7"/>
    <x v="10"/>
    <x v="127"/>
    <x v="76"/>
    <x v="45"/>
    <x v="416"/>
    <x v="96"/>
    <x v="207"/>
    <x v="4"/>
  </r>
  <r>
    <x v="0"/>
    <x v="31"/>
    <x v="31"/>
    <x v="25"/>
    <x v="25"/>
    <x v="25"/>
    <x v="11"/>
    <x v="99"/>
    <x v="400"/>
    <x v="52"/>
    <x v="51"/>
    <x v="51"/>
    <x v="384"/>
    <x v="4"/>
  </r>
  <r>
    <x v="0"/>
    <x v="31"/>
    <x v="31"/>
    <x v="12"/>
    <x v="12"/>
    <x v="12"/>
    <x v="12"/>
    <x v="80"/>
    <x v="189"/>
    <x v="44"/>
    <x v="421"/>
    <x v="69"/>
    <x v="145"/>
    <x v="4"/>
  </r>
  <r>
    <x v="0"/>
    <x v="31"/>
    <x v="31"/>
    <x v="21"/>
    <x v="21"/>
    <x v="21"/>
    <x v="12"/>
    <x v="80"/>
    <x v="189"/>
    <x v="52"/>
    <x v="51"/>
    <x v="60"/>
    <x v="143"/>
    <x v="4"/>
  </r>
  <r>
    <x v="0"/>
    <x v="31"/>
    <x v="31"/>
    <x v="14"/>
    <x v="14"/>
    <x v="14"/>
    <x v="14"/>
    <x v="92"/>
    <x v="401"/>
    <x v="53"/>
    <x v="14"/>
    <x v="69"/>
    <x v="145"/>
    <x v="4"/>
  </r>
  <r>
    <x v="0"/>
    <x v="31"/>
    <x v="31"/>
    <x v="13"/>
    <x v="13"/>
    <x v="13"/>
    <x v="15"/>
    <x v="66"/>
    <x v="402"/>
    <x v="86"/>
    <x v="322"/>
    <x v="86"/>
    <x v="158"/>
    <x v="4"/>
  </r>
  <r>
    <x v="0"/>
    <x v="31"/>
    <x v="31"/>
    <x v="6"/>
    <x v="6"/>
    <x v="6"/>
    <x v="16"/>
    <x v="82"/>
    <x v="231"/>
    <x v="46"/>
    <x v="113"/>
    <x v="81"/>
    <x v="9"/>
    <x v="4"/>
  </r>
  <r>
    <x v="0"/>
    <x v="31"/>
    <x v="31"/>
    <x v="24"/>
    <x v="24"/>
    <x v="24"/>
    <x v="17"/>
    <x v="67"/>
    <x v="14"/>
    <x v="35"/>
    <x v="75"/>
    <x v="81"/>
    <x v="9"/>
    <x v="4"/>
  </r>
  <r>
    <x v="0"/>
    <x v="31"/>
    <x v="31"/>
    <x v="20"/>
    <x v="20"/>
    <x v="20"/>
    <x v="18"/>
    <x v="95"/>
    <x v="374"/>
    <x v="52"/>
    <x v="51"/>
    <x v="82"/>
    <x v="388"/>
    <x v="4"/>
  </r>
  <r>
    <x v="0"/>
    <x v="31"/>
    <x v="31"/>
    <x v="19"/>
    <x v="19"/>
    <x v="19"/>
    <x v="19"/>
    <x v="68"/>
    <x v="15"/>
    <x v="52"/>
    <x v="51"/>
    <x v="86"/>
    <x v="158"/>
    <x v="4"/>
  </r>
  <r>
    <x v="0"/>
    <x v="32"/>
    <x v="32"/>
    <x v="0"/>
    <x v="0"/>
    <x v="0"/>
    <x v="0"/>
    <x v="277"/>
    <x v="403"/>
    <x v="180"/>
    <x v="422"/>
    <x v="110"/>
    <x v="389"/>
    <x v="4"/>
  </r>
  <r>
    <x v="0"/>
    <x v="32"/>
    <x v="32"/>
    <x v="1"/>
    <x v="1"/>
    <x v="1"/>
    <x v="1"/>
    <x v="219"/>
    <x v="70"/>
    <x v="181"/>
    <x v="423"/>
    <x v="94"/>
    <x v="196"/>
    <x v="4"/>
  </r>
  <r>
    <x v="0"/>
    <x v="32"/>
    <x v="32"/>
    <x v="2"/>
    <x v="2"/>
    <x v="2"/>
    <x v="2"/>
    <x v="167"/>
    <x v="268"/>
    <x v="37"/>
    <x v="132"/>
    <x v="175"/>
    <x v="390"/>
    <x v="4"/>
  </r>
  <r>
    <x v="0"/>
    <x v="32"/>
    <x v="32"/>
    <x v="3"/>
    <x v="3"/>
    <x v="3"/>
    <x v="3"/>
    <x v="177"/>
    <x v="404"/>
    <x v="34"/>
    <x v="424"/>
    <x v="175"/>
    <x v="390"/>
    <x v="4"/>
  </r>
  <r>
    <x v="0"/>
    <x v="32"/>
    <x v="32"/>
    <x v="6"/>
    <x v="6"/>
    <x v="6"/>
    <x v="4"/>
    <x v="89"/>
    <x v="315"/>
    <x v="54"/>
    <x v="80"/>
    <x v="78"/>
    <x v="391"/>
    <x v="4"/>
  </r>
  <r>
    <x v="0"/>
    <x v="32"/>
    <x v="32"/>
    <x v="9"/>
    <x v="9"/>
    <x v="9"/>
    <x v="5"/>
    <x v="262"/>
    <x v="115"/>
    <x v="83"/>
    <x v="392"/>
    <x v="104"/>
    <x v="102"/>
    <x v="4"/>
  </r>
  <r>
    <x v="0"/>
    <x v="32"/>
    <x v="32"/>
    <x v="5"/>
    <x v="5"/>
    <x v="5"/>
    <x v="6"/>
    <x v="56"/>
    <x v="405"/>
    <x v="81"/>
    <x v="264"/>
    <x v="51"/>
    <x v="392"/>
    <x v="4"/>
  </r>
  <r>
    <x v="0"/>
    <x v="32"/>
    <x v="32"/>
    <x v="19"/>
    <x v="19"/>
    <x v="19"/>
    <x v="6"/>
    <x v="56"/>
    <x v="405"/>
    <x v="46"/>
    <x v="373"/>
    <x v="176"/>
    <x v="78"/>
    <x v="4"/>
  </r>
  <r>
    <x v="0"/>
    <x v="32"/>
    <x v="32"/>
    <x v="4"/>
    <x v="4"/>
    <x v="4"/>
    <x v="8"/>
    <x v="98"/>
    <x v="406"/>
    <x v="129"/>
    <x v="425"/>
    <x v="71"/>
    <x v="285"/>
    <x v="4"/>
  </r>
  <r>
    <x v="0"/>
    <x v="32"/>
    <x v="32"/>
    <x v="11"/>
    <x v="11"/>
    <x v="11"/>
    <x v="9"/>
    <x v="99"/>
    <x v="407"/>
    <x v="47"/>
    <x v="278"/>
    <x v="83"/>
    <x v="73"/>
    <x v="4"/>
  </r>
  <r>
    <x v="0"/>
    <x v="32"/>
    <x v="32"/>
    <x v="8"/>
    <x v="8"/>
    <x v="8"/>
    <x v="10"/>
    <x v="207"/>
    <x v="408"/>
    <x v="121"/>
    <x v="426"/>
    <x v="151"/>
    <x v="192"/>
    <x v="4"/>
  </r>
  <r>
    <x v="0"/>
    <x v="32"/>
    <x v="32"/>
    <x v="7"/>
    <x v="7"/>
    <x v="7"/>
    <x v="11"/>
    <x v="80"/>
    <x v="409"/>
    <x v="23"/>
    <x v="427"/>
    <x v="104"/>
    <x v="102"/>
    <x v="4"/>
  </r>
  <r>
    <x v="0"/>
    <x v="32"/>
    <x v="32"/>
    <x v="12"/>
    <x v="12"/>
    <x v="12"/>
    <x v="12"/>
    <x v="95"/>
    <x v="410"/>
    <x v="36"/>
    <x v="330"/>
    <x v="63"/>
    <x v="393"/>
    <x v="4"/>
  </r>
  <r>
    <x v="0"/>
    <x v="32"/>
    <x v="32"/>
    <x v="10"/>
    <x v="10"/>
    <x v="10"/>
    <x v="13"/>
    <x v="115"/>
    <x v="90"/>
    <x v="47"/>
    <x v="278"/>
    <x v="77"/>
    <x v="276"/>
    <x v="4"/>
  </r>
  <r>
    <x v="0"/>
    <x v="32"/>
    <x v="32"/>
    <x v="15"/>
    <x v="15"/>
    <x v="15"/>
    <x v="14"/>
    <x v="116"/>
    <x v="220"/>
    <x v="68"/>
    <x v="428"/>
    <x v="102"/>
    <x v="116"/>
    <x v="4"/>
  </r>
  <r>
    <x v="0"/>
    <x v="32"/>
    <x v="32"/>
    <x v="17"/>
    <x v="17"/>
    <x v="17"/>
    <x v="15"/>
    <x v="117"/>
    <x v="64"/>
    <x v="35"/>
    <x v="327"/>
    <x v="95"/>
    <x v="12"/>
    <x v="4"/>
  </r>
  <r>
    <x v="0"/>
    <x v="32"/>
    <x v="32"/>
    <x v="16"/>
    <x v="16"/>
    <x v="16"/>
    <x v="16"/>
    <x v="102"/>
    <x v="411"/>
    <x v="86"/>
    <x v="429"/>
    <x v="99"/>
    <x v="164"/>
    <x v="4"/>
  </r>
  <r>
    <x v="0"/>
    <x v="32"/>
    <x v="32"/>
    <x v="18"/>
    <x v="18"/>
    <x v="18"/>
    <x v="17"/>
    <x v="106"/>
    <x v="15"/>
    <x v="52"/>
    <x v="51"/>
    <x v="92"/>
    <x v="86"/>
    <x v="4"/>
  </r>
  <r>
    <x v="0"/>
    <x v="32"/>
    <x v="32"/>
    <x v="36"/>
    <x v="36"/>
    <x v="36"/>
    <x v="18"/>
    <x v="226"/>
    <x v="363"/>
    <x v="52"/>
    <x v="51"/>
    <x v="103"/>
    <x v="64"/>
    <x v="4"/>
  </r>
  <r>
    <x v="0"/>
    <x v="32"/>
    <x v="32"/>
    <x v="14"/>
    <x v="14"/>
    <x v="14"/>
    <x v="19"/>
    <x v="169"/>
    <x v="19"/>
    <x v="52"/>
    <x v="51"/>
    <x v="85"/>
    <x v="173"/>
    <x v="4"/>
  </r>
  <r>
    <x v="0"/>
    <x v="33"/>
    <x v="33"/>
    <x v="0"/>
    <x v="0"/>
    <x v="0"/>
    <x v="0"/>
    <x v="278"/>
    <x v="412"/>
    <x v="182"/>
    <x v="430"/>
    <x v="115"/>
    <x v="252"/>
    <x v="4"/>
  </r>
  <r>
    <x v="0"/>
    <x v="33"/>
    <x v="33"/>
    <x v="1"/>
    <x v="1"/>
    <x v="1"/>
    <x v="1"/>
    <x v="76"/>
    <x v="413"/>
    <x v="56"/>
    <x v="431"/>
    <x v="102"/>
    <x v="170"/>
    <x v="4"/>
  </r>
  <r>
    <x v="0"/>
    <x v="33"/>
    <x v="33"/>
    <x v="6"/>
    <x v="6"/>
    <x v="6"/>
    <x v="2"/>
    <x v="198"/>
    <x v="414"/>
    <x v="34"/>
    <x v="252"/>
    <x v="212"/>
    <x v="394"/>
    <x v="4"/>
  </r>
  <r>
    <x v="0"/>
    <x v="33"/>
    <x v="33"/>
    <x v="5"/>
    <x v="5"/>
    <x v="5"/>
    <x v="3"/>
    <x v="146"/>
    <x v="415"/>
    <x v="66"/>
    <x v="432"/>
    <x v="58"/>
    <x v="395"/>
    <x v="4"/>
  </r>
  <r>
    <x v="0"/>
    <x v="33"/>
    <x v="33"/>
    <x v="3"/>
    <x v="3"/>
    <x v="3"/>
    <x v="4"/>
    <x v="216"/>
    <x v="416"/>
    <x v="66"/>
    <x v="432"/>
    <x v="197"/>
    <x v="396"/>
    <x v="4"/>
  </r>
  <r>
    <x v="0"/>
    <x v="33"/>
    <x v="33"/>
    <x v="2"/>
    <x v="2"/>
    <x v="2"/>
    <x v="5"/>
    <x v="262"/>
    <x v="417"/>
    <x v="23"/>
    <x v="433"/>
    <x v="109"/>
    <x v="397"/>
    <x v="4"/>
  </r>
  <r>
    <x v="0"/>
    <x v="33"/>
    <x v="33"/>
    <x v="4"/>
    <x v="4"/>
    <x v="4"/>
    <x v="6"/>
    <x v="168"/>
    <x v="418"/>
    <x v="67"/>
    <x v="4"/>
    <x v="84"/>
    <x v="296"/>
    <x v="4"/>
  </r>
  <r>
    <x v="0"/>
    <x v="33"/>
    <x v="33"/>
    <x v="18"/>
    <x v="18"/>
    <x v="18"/>
    <x v="7"/>
    <x v="94"/>
    <x v="419"/>
    <x v="52"/>
    <x v="51"/>
    <x v="109"/>
    <x v="397"/>
    <x v="4"/>
  </r>
  <r>
    <x v="0"/>
    <x v="33"/>
    <x v="33"/>
    <x v="11"/>
    <x v="11"/>
    <x v="11"/>
    <x v="8"/>
    <x v="217"/>
    <x v="119"/>
    <x v="55"/>
    <x v="394"/>
    <x v="85"/>
    <x v="69"/>
    <x v="4"/>
  </r>
  <r>
    <x v="0"/>
    <x v="33"/>
    <x v="33"/>
    <x v="9"/>
    <x v="9"/>
    <x v="9"/>
    <x v="9"/>
    <x v="84"/>
    <x v="420"/>
    <x v="66"/>
    <x v="432"/>
    <x v="150"/>
    <x v="299"/>
    <x v="4"/>
  </r>
  <r>
    <x v="0"/>
    <x v="33"/>
    <x v="33"/>
    <x v="7"/>
    <x v="7"/>
    <x v="7"/>
    <x v="10"/>
    <x v="116"/>
    <x v="421"/>
    <x v="80"/>
    <x v="434"/>
    <x v="105"/>
    <x v="152"/>
    <x v="4"/>
  </r>
  <r>
    <x v="0"/>
    <x v="33"/>
    <x v="33"/>
    <x v="12"/>
    <x v="12"/>
    <x v="12"/>
    <x v="11"/>
    <x v="102"/>
    <x v="422"/>
    <x v="34"/>
    <x v="252"/>
    <x v="92"/>
    <x v="338"/>
    <x v="4"/>
  </r>
  <r>
    <x v="0"/>
    <x v="33"/>
    <x v="33"/>
    <x v="8"/>
    <x v="8"/>
    <x v="8"/>
    <x v="11"/>
    <x v="102"/>
    <x v="422"/>
    <x v="45"/>
    <x v="435"/>
    <x v="185"/>
    <x v="398"/>
    <x v="4"/>
  </r>
  <r>
    <x v="0"/>
    <x v="33"/>
    <x v="33"/>
    <x v="10"/>
    <x v="10"/>
    <x v="10"/>
    <x v="13"/>
    <x v="118"/>
    <x v="220"/>
    <x v="37"/>
    <x v="436"/>
    <x v="91"/>
    <x v="217"/>
    <x v="4"/>
  </r>
  <r>
    <x v="0"/>
    <x v="33"/>
    <x v="33"/>
    <x v="15"/>
    <x v="15"/>
    <x v="15"/>
    <x v="14"/>
    <x v="267"/>
    <x v="142"/>
    <x v="81"/>
    <x v="437"/>
    <x v="91"/>
    <x v="217"/>
    <x v="4"/>
  </r>
  <r>
    <x v="0"/>
    <x v="33"/>
    <x v="33"/>
    <x v="21"/>
    <x v="21"/>
    <x v="21"/>
    <x v="15"/>
    <x v="107"/>
    <x v="254"/>
    <x v="53"/>
    <x v="114"/>
    <x v="102"/>
    <x v="170"/>
    <x v="4"/>
  </r>
  <r>
    <x v="0"/>
    <x v="33"/>
    <x v="33"/>
    <x v="14"/>
    <x v="14"/>
    <x v="14"/>
    <x v="16"/>
    <x v="108"/>
    <x v="423"/>
    <x v="52"/>
    <x v="51"/>
    <x v="102"/>
    <x v="170"/>
    <x v="4"/>
  </r>
  <r>
    <x v="0"/>
    <x v="33"/>
    <x v="33"/>
    <x v="22"/>
    <x v="22"/>
    <x v="22"/>
    <x v="17"/>
    <x v="241"/>
    <x v="286"/>
    <x v="35"/>
    <x v="97"/>
    <x v="105"/>
    <x v="152"/>
    <x v="4"/>
  </r>
  <r>
    <x v="0"/>
    <x v="33"/>
    <x v="33"/>
    <x v="37"/>
    <x v="37"/>
    <x v="37"/>
    <x v="18"/>
    <x v="279"/>
    <x v="424"/>
    <x v="52"/>
    <x v="51"/>
    <x v="150"/>
    <x v="299"/>
    <x v="4"/>
  </r>
  <r>
    <x v="0"/>
    <x v="33"/>
    <x v="33"/>
    <x v="17"/>
    <x v="17"/>
    <x v="17"/>
    <x v="18"/>
    <x v="279"/>
    <x v="424"/>
    <x v="53"/>
    <x v="114"/>
    <x v="91"/>
    <x v="217"/>
    <x v="4"/>
  </r>
  <r>
    <x v="0"/>
    <x v="34"/>
    <x v="34"/>
    <x v="0"/>
    <x v="0"/>
    <x v="0"/>
    <x v="0"/>
    <x v="280"/>
    <x v="425"/>
    <x v="183"/>
    <x v="438"/>
    <x v="92"/>
    <x v="399"/>
    <x v="4"/>
  </r>
  <r>
    <x v="0"/>
    <x v="34"/>
    <x v="34"/>
    <x v="5"/>
    <x v="5"/>
    <x v="5"/>
    <x v="1"/>
    <x v="271"/>
    <x v="426"/>
    <x v="83"/>
    <x v="439"/>
    <x v="78"/>
    <x v="400"/>
    <x v="4"/>
  </r>
  <r>
    <x v="0"/>
    <x v="34"/>
    <x v="34"/>
    <x v="3"/>
    <x v="3"/>
    <x v="3"/>
    <x v="2"/>
    <x v="261"/>
    <x v="427"/>
    <x v="88"/>
    <x v="440"/>
    <x v="50"/>
    <x v="358"/>
    <x v="4"/>
  </r>
  <r>
    <x v="0"/>
    <x v="34"/>
    <x v="34"/>
    <x v="1"/>
    <x v="1"/>
    <x v="1"/>
    <x v="3"/>
    <x v="225"/>
    <x v="428"/>
    <x v="182"/>
    <x v="441"/>
    <x v="77"/>
    <x v="108"/>
    <x v="4"/>
  </r>
  <r>
    <x v="0"/>
    <x v="34"/>
    <x v="34"/>
    <x v="6"/>
    <x v="6"/>
    <x v="6"/>
    <x v="4"/>
    <x v="199"/>
    <x v="183"/>
    <x v="61"/>
    <x v="170"/>
    <x v="215"/>
    <x v="401"/>
    <x v="4"/>
  </r>
  <r>
    <x v="0"/>
    <x v="34"/>
    <x v="34"/>
    <x v="2"/>
    <x v="2"/>
    <x v="2"/>
    <x v="5"/>
    <x v="127"/>
    <x v="429"/>
    <x v="88"/>
    <x v="440"/>
    <x v="86"/>
    <x v="402"/>
    <x v="4"/>
  </r>
  <r>
    <x v="0"/>
    <x v="34"/>
    <x v="34"/>
    <x v="4"/>
    <x v="4"/>
    <x v="4"/>
    <x v="6"/>
    <x v="64"/>
    <x v="430"/>
    <x v="103"/>
    <x v="416"/>
    <x v="86"/>
    <x v="402"/>
    <x v="4"/>
  </r>
  <r>
    <x v="0"/>
    <x v="34"/>
    <x v="34"/>
    <x v="15"/>
    <x v="15"/>
    <x v="15"/>
    <x v="7"/>
    <x v="99"/>
    <x v="431"/>
    <x v="96"/>
    <x v="442"/>
    <x v="85"/>
    <x v="71"/>
    <x v="4"/>
  </r>
  <r>
    <x v="0"/>
    <x v="34"/>
    <x v="34"/>
    <x v="11"/>
    <x v="11"/>
    <x v="11"/>
    <x v="8"/>
    <x v="100"/>
    <x v="136"/>
    <x v="37"/>
    <x v="204"/>
    <x v="70"/>
    <x v="403"/>
    <x v="4"/>
  </r>
  <r>
    <x v="0"/>
    <x v="34"/>
    <x v="34"/>
    <x v="9"/>
    <x v="9"/>
    <x v="9"/>
    <x v="9"/>
    <x v="81"/>
    <x v="121"/>
    <x v="147"/>
    <x v="222"/>
    <x v="115"/>
    <x v="404"/>
    <x v="4"/>
  </r>
  <r>
    <x v="0"/>
    <x v="34"/>
    <x v="34"/>
    <x v="22"/>
    <x v="22"/>
    <x v="22"/>
    <x v="10"/>
    <x v="82"/>
    <x v="432"/>
    <x v="58"/>
    <x v="187"/>
    <x v="70"/>
    <x v="403"/>
    <x v="4"/>
  </r>
  <r>
    <x v="0"/>
    <x v="34"/>
    <x v="34"/>
    <x v="7"/>
    <x v="7"/>
    <x v="7"/>
    <x v="10"/>
    <x v="82"/>
    <x v="432"/>
    <x v="18"/>
    <x v="443"/>
    <x v="77"/>
    <x v="108"/>
    <x v="1"/>
  </r>
  <r>
    <x v="0"/>
    <x v="34"/>
    <x v="34"/>
    <x v="8"/>
    <x v="8"/>
    <x v="8"/>
    <x v="12"/>
    <x v="95"/>
    <x v="79"/>
    <x v="152"/>
    <x v="259"/>
    <x v="185"/>
    <x v="405"/>
    <x v="4"/>
  </r>
  <r>
    <x v="0"/>
    <x v="34"/>
    <x v="34"/>
    <x v="12"/>
    <x v="12"/>
    <x v="12"/>
    <x v="13"/>
    <x v="69"/>
    <x v="220"/>
    <x v="81"/>
    <x v="305"/>
    <x v="103"/>
    <x v="341"/>
    <x v="4"/>
  </r>
  <r>
    <x v="0"/>
    <x v="34"/>
    <x v="34"/>
    <x v="14"/>
    <x v="14"/>
    <x v="14"/>
    <x v="14"/>
    <x v="117"/>
    <x v="34"/>
    <x v="54"/>
    <x v="156"/>
    <x v="93"/>
    <x v="406"/>
    <x v="4"/>
  </r>
  <r>
    <x v="0"/>
    <x v="34"/>
    <x v="34"/>
    <x v="33"/>
    <x v="33"/>
    <x v="33"/>
    <x v="15"/>
    <x v="103"/>
    <x v="221"/>
    <x v="44"/>
    <x v="327"/>
    <x v="94"/>
    <x v="318"/>
    <x v="4"/>
  </r>
  <r>
    <x v="0"/>
    <x v="34"/>
    <x v="34"/>
    <x v="18"/>
    <x v="18"/>
    <x v="18"/>
    <x v="16"/>
    <x v="104"/>
    <x v="191"/>
    <x v="52"/>
    <x v="51"/>
    <x v="95"/>
    <x v="1"/>
    <x v="4"/>
  </r>
  <r>
    <x v="0"/>
    <x v="34"/>
    <x v="34"/>
    <x v="13"/>
    <x v="13"/>
    <x v="13"/>
    <x v="17"/>
    <x v="118"/>
    <x v="433"/>
    <x v="86"/>
    <x v="444"/>
    <x v="66"/>
    <x v="407"/>
    <x v="4"/>
  </r>
  <r>
    <x v="0"/>
    <x v="34"/>
    <x v="34"/>
    <x v="20"/>
    <x v="20"/>
    <x v="20"/>
    <x v="18"/>
    <x v="267"/>
    <x v="192"/>
    <x v="35"/>
    <x v="141"/>
    <x v="103"/>
    <x v="341"/>
    <x v="4"/>
  </r>
  <r>
    <x v="0"/>
    <x v="34"/>
    <x v="34"/>
    <x v="10"/>
    <x v="10"/>
    <x v="10"/>
    <x v="19"/>
    <x v="106"/>
    <x v="161"/>
    <x v="47"/>
    <x v="445"/>
    <x v="113"/>
    <x v="408"/>
    <x v="4"/>
  </r>
  <r>
    <x v="0"/>
    <x v="35"/>
    <x v="35"/>
    <x v="0"/>
    <x v="0"/>
    <x v="0"/>
    <x v="0"/>
    <x v="76"/>
    <x v="434"/>
    <x v="63"/>
    <x v="446"/>
    <x v="94"/>
    <x v="293"/>
    <x v="4"/>
  </r>
  <r>
    <x v="0"/>
    <x v="35"/>
    <x v="35"/>
    <x v="3"/>
    <x v="3"/>
    <x v="3"/>
    <x v="1"/>
    <x v="215"/>
    <x v="314"/>
    <x v="133"/>
    <x v="447"/>
    <x v="58"/>
    <x v="409"/>
    <x v="4"/>
  </r>
  <r>
    <x v="0"/>
    <x v="35"/>
    <x v="35"/>
    <x v="4"/>
    <x v="4"/>
    <x v="4"/>
    <x v="2"/>
    <x v="96"/>
    <x v="224"/>
    <x v="147"/>
    <x v="448"/>
    <x v="108"/>
    <x v="410"/>
    <x v="4"/>
  </r>
  <r>
    <x v="0"/>
    <x v="35"/>
    <x v="35"/>
    <x v="5"/>
    <x v="5"/>
    <x v="5"/>
    <x v="3"/>
    <x v="269"/>
    <x v="435"/>
    <x v="45"/>
    <x v="449"/>
    <x v="108"/>
    <x v="410"/>
    <x v="4"/>
  </r>
  <r>
    <x v="0"/>
    <x v="35"/>
    <x v="35"/>
    <x v="1"/>
    <x v="1"/>
    <x v="1"/>
    <x v="3"/>
    <x v="269"/>
    <x v="435"/>
    <x v="49"/>
    <x v="450"/>
    <x v="94"/>
    <x v="293"/>
    <x v="4"/>
  </r>
  <r>
    <x v="0"/>
    <x v="35"/>
    <x v="35"/>
    <x v="2"/>
    <x v="2"/>
    <x v="2"/>
    <x v="5"/>
    <x v="78"/>
    <x v="42"/>
    <x v="45"/>
    <x v="449"/>
    <x v="82"/>
    <x v="411"/>
    <x v="4"/>
  </r>
  <r>
    <x v="0"/>
    <x v="35"/>
    <x v="35"/>
    <x v="9"/>
    <x v="9"/>
    <x v="9"/>
    <x v="6"/>
    <x v="65"/>
    <x v="342"/>
    <x v="23"/>
    <x v="451"/>
    <x v="68"/>
    <x v="338"/>
    <x v="4"/>
  </r>
  <r>
    <x v="0"/>
    <x v="35"/>
    <x v="35"/>
    <x v="10"/>
    <x v="10"/>
    <x v="10"/>
    <x v="7"/>
    <x v="91"/>
    <x v="228"/>
    <x v="75"/>
    <x v="452"/>
    <x v="84"/>
    <x v="412"/>
    <x v="4"/>
  </r>
  <r>
    <x v="0"/>
    <x v="35"/>
    <x v="35"/>
    <x v="7"/>
    <x v="7"/>
    <x v="7"/>
    <x v="8"/>
    <x v="112"/>
    <x v="249"/>
    <x v="23"/>
    <x v="451"/>
    <x v="99"/>
    <x v="252"/>
    <x v="4"/>
  </r>
  <r>
    <x v="0"/>
    <x v="35"/>
    <x v="35"/>
    <x v="6"/>
    <x v="6"/>
    <x v="6"/>
    <x v="9"/>
    <x v="94"/>
    <x v="28"/>
    <x v="38"/>
    <x v="453"/>
    <x v="70"/>
    <x v="148"/>
    <x v="4"/>
  </r>
  <r>
    <x v="0"/>
    <x v="35"/>
    <x v="35"/>
    <x v="15"/>
    <x v="15"/>
    <x v="15"/>
    <x v="10"/>
    <x v="217"/>
    <x v="436"/>
    <x v="75"/>
    <x v="452"/>
    <x v="97"/>
    <x v="7"/>
    <x v="4"/>
  </r>
  <r>
    <x v="0"/>
    <x v="35"/>
    <x v="35"/>
    <x v="11"/>
    <x v="11"/>
    <x v="11"/>
    <x v="11"/>
    <x v="95"/>
    <x v="122"/>
    <x v="75"/>
    <x v="452"/>
    <x v="77"/>
    <x v="351"/>
    <x v="4"/>
  </r>
  <r>
    <x v="0"/>
    <x v="35"/>
    <x v="35"/>
    <x v="8"/>
    <x v="8"/>
    <x v="8"/>
    <x v="12"/>
    <x v="114"/>
    <x v="206"/>
    <x v="23"/>
    <x v="451"/>
    <x v="151"/>
    <x v="413"/>
    <x v="4"/>
  </r>
  <r>
    <x v="0"/>
    <x v="35"/>
    <x v="35"/>
    <x v="12"/>
    <x v="12"/>
    <x v="12"/>
    <x v="13"/>
    <x v="101"/>
    <x v="437"/>
    <x v="61"/>
    <x v="105"/>
    <x v="104"/>
    <x v="352"/>
    <x v="4"/>
  </r>
  <r>
    <x v="0"/>
    <x v="35"/>
    <x v="35"/>
    <x v="18"/>
    <x v="18"/>
    <x v="18"/>
    <x v="13"/>
    <x v="101"/>
    <x v="437"/>
    <x v="53"/>
    <x v="38"/>
    <x v="86"/>
    <x v="414"/>
    <x v="4"/>
  </r>
  <r>
    <x v="0"/>
    <x v="35"/>
    <x v="35"/>
    <x v="16"/>
    <x v="16"/>
    <x v="16"/>
    <x v="15"/>
    <x v="102"/>
    <x v="80"/>
    <x v="58"/>
    <x v="155"/>
    <x v="85"/>
    <x v="278"/>
    <x v="4"/>
  </r>
  <r>
    <x v="0"/>
    <x v="35"/>
    <x v="35"/>
    <x v="17"/>
    <x v="17"/>
    <x v="17"/>
    <x v="16"/>
    <x v="104"/>
    <x v="438"/>
    <x v="46"/>
    <x v="373"/>
    <x v="97"/>
    <x v="7"/>
    <x v="4"/>
  </r>
  <r>
    <x v="0"/>
    <x v="35"/>
    <x v="35"/>
    <x v="20"/>
    <x v="20"/>
    <x v="20"/>
    <x v="17"/>
    <x v="106"/>
    <x v="328"/>
    <x v="53"/>
    <x v="38"/>
    <x v="97"/>
    <x v="7"/>
    <x v="4"/>
  </r>
  <r>
    <x v="0"/>
    <x v="35"/>
    <x v="35"/>
    <x v="13"/>
    <x v="13"/>
    <x v="13"/>
    <x v="17"/>
    <x v="106"/>
    <x v="328"/>
    <x v="35"/>
    <x v="23"/>
    <x v="85"/>
    <x v="278"/>
    <x v="4"/>
  </r>
  <r>
    <x v="0"/>
    <x v="35"/>
    <x v="35"/>
    <x v="21"/>
    <x v="21"/>
    <x v="21"/>
    <x v="17"/>
    <x v="106"/>
    <x v="328"/>
    <x v="54"/>
    <x v="454"/>
    <x v="103"/>
    <x v="98"/>
    <x v="4"/>
  </r>
  <r>
    <x v="0"/>
    <x v="36"/>
    <x v="36"/>
    <x v="3"/>
    <x v="3"/>
    <x v="3"/>
    <x v="0"/>
    <x v="202"/>
    <x v="439"/>
    <x v="75"/>
    <x v="455"/>
    <x v="197"/>
    <x v="268"/>
    <x v="4"/>
  </r>
  <r>
    <x v="0"/>
    <x v="36"/>
    <x v="36"/>
    <x v="5"/>
    <x v="5"/>
    <x v="5"/>
    <x v="1"/>
    <x v="168"/>
    <x v="349"/>
    <x v="47"/>
    <x v="408"/>
    <x v="109"/>
    <x v="415"/>
    <x v="4"/>
  </r>
  <r>
    <x v="0"/>
    <x v="36"/>
    <x v="36"/>
    <x v="0"/>
    <x v="0"/>
    <x v="0"/>
    <x v="2"/>
    <x v="99"/>
    <x v="440"/>
    <x v="121"/>
    <x v="456"/>
    <x v="105"/>
    <x v="97"/>
    <x v="4"/>
  </r>
  <r>
    <x v="0"/>
    <x v="36"/>
    <x v="36"/>
    <x v="1"/>
    <x v="1"/>
    <x v="1"/>
    <x v="3"/>
    <x v="111"/>
    <x v="441"/>
    <x v="78"/>
    <x v="457"/>
    <x v="66"/>
    <x v="241"/>
    <x v="4"/>
  </r>
  <r>
    <x v="0"/>
    <x v="36"/>
    <x v="36"/>
    <x v="22"/>
    <x v="22"/>
    <x v="22"/>
    <x v="4"/>
    <x v="128"/>
    <x v="442"/>
    <x v="34"/>
    <x v="458"/>
    <x v="101"/>
    <x v="416"/>
    <x v="4"/>
  </r>
  <r>
    <x v="0"/>
    <x v="36"/>
    <x v="36"/>
    <x v="2"/>
    <x v="2"/>
    <x v="2"/>
    <x v="5"/>
    <x v="66"/>
    <x v="101"/>
    <x v="53"/>
    <x v="172"/>
    <x v="109"/>
    <x v="415"/>
    <x v="4"/>
  </r>
  <r>
    <x v="0"/>
    <x v="36"/>
    <x v="36"/>
    <x v="9"/>
    <x v="9"/>
    <x v="9"/>
    <x v="6"/>
    <x v="94"/>
    <x v="151"/>
    <x v="59"/>
    <x v="459"/>
    <x v="68"/>
    <x v="417"/>
    <x v="4"/>
  </r>
  <r>
    <x v="0"/>
    <x v="36"/>
    <x v="36"/>
    <x v="4"/>
    <x v="4"/>
    <x v="4"/>
    <x v="7"/>
    <x v="113"/>
    <x v="201"/>
    <x v="86"/>
    <x v="372"/>
    <x v="74"/>
    <x v="418"/>
    <x v="4"/>
  </r>
  <r>
    <x v="0"/>
    <x v="36"/>
    <x v="36"/>
    <x v="6"/>
    <x v="6"/>
    <x v="6"/>
    <x v="8"/>
    <x v="67"/>
    <x v="184"/>
    <x v="46"/>
    <x v="351"/>
    <x v="70"/>
    <x v="140"/>
    <x v="4"/>
  </r>
  <r>
    <x v="0"/>
    <x v="36"/>
    <x v="36"/>
    <x v="7"/>
    <x v="7"/>
    <x v="7"/>
    <x v="9"/>
    <x v="116"/>
    <x v="136"/>
    <x v="81"/>
    <x v="460"/>
    <x v="77"/>
    <x v="379"/>
    <x v="4"/>
  </r>
  <r>
    <x v="0"/>
    <x v="36"/>
    <x v="36"/>
    <x v="10"/>
    <x v="10"/>
    <x v="10"/>
    <x v="10"/>
    <x v="102"/>
    <x v="443"/>
    <x v="81"/>
    <x v="460"/>
    <x v="102"/>
    <x v="55"/>
    <x v="4"/>
  </r>
  <r>
    <x v="0"/>
    <x v="36"/>
    <x v="36"/>
    <x v="15"/>
    <x v="15"/>
    <x v="15"/>
    <x v="11"/>
    <x v="103"/>
    <x v="206"/>
    <x v="86"/>
    <x v="372"/>
    <x v="102"/>
    <x v="55"/>
    <x v="4"/>
  </r>
  <r>
    <x v="0"/>
    <x v="36"/>
    <x v="36"/>
    <x v="8"/>
    <x v="8"/>
    <x v="8"/>
    <x v="12"/>
    <x v="105"/>
    <x v="362"/>
    <x v="55"/>
    <x v="461"/>
    <x v="117"/>
    <x v="419"/>
    <x v="4"/>
  </r>
  <r>
    <x v="0"/>
    <x v="36"/>
    <x v="36"/>
    <x v="17"/>
    <x v="17"/>
    <x v="17"/>
    <x v="13"/>
    <x v="118"/>
    <x v="422"/>
    <x v="35"/>
    <x v="462"/>
    <x v="97"/>
    <x v="233"/>
    <x v="4"/>
  </r>
  <r>
    <x v="0"/>
    <x v="36"/>
    <x v="36"/>
    <x v="11"/>
    <x v="11"/>
    <x v="11"/>
    <x v="13"/>
    <x v="118"/>
    <x v="422"/>
    <x v="36"/>
    <x v="133"/>
    <x v="102"/>
    <x v="55"/>
    <x v="4"/>
  </r>
  <r>
    <x v="0"/>
    <x v="36"/>
    <x v="36"/>
    <x v="19"/>
    <x v="19"/>
    <x v="19"/>
    <x v="15"/>
    <x v="226"/>
    <x v="50"/>
    <x v="53"/>
    <x v="172"/>
    <x v="85"/>
    <x v="168"/>
    <x v="4"/>
  </r>
  <r>
    <x v="0"/>
    <x v="36"/>
    <x v="36"/>
    <x v="12"/>
    <x v="12"/>
    <x v="12"/>
    <x v="15"/>
    <x v="226"/>
    <x v="50"/>
    <x v="35"/>
    <x v="462"/>
    <x v="99"/>
    <x v="196"/>
    <x v="4"/>
  </r>
  <r>
    <x v="0"/>
    <x v="36"/>
    <x v="36"/>
    <x v="33"/>
    <x v="33"/>
    <x v="33"/>
    <x v="17"/>
    <x v="169"/>
    <x v="92"/>
    <x v="52"/>
    <x v="51"/>
    <x v="85"/>
    <x v="168"/>
    <x v="4"/>
  </r>
  <r>
    <x v="0"/>
    <x v="36"/>
    <x v="36"/>
    <x v="38"/>
    <x v="38"/>
    <x v="38"/>
    <x v="18"/>
    <x v="108"/>
    <x v="178"/>
    <x v="54"/>
    <x v="463"/>
    <x v="106"/>
    <x v="420"/>
    <x v="4"/>
  </r>
  <r>
    <x v="0"/>
    <x v="36"/>
    <x v="36"/>
    <x v="16"/>
    <x v="16"/>
    <x v="16"/>
    <x v="19"/>
    <x v="109"/>
    <x v="66"/>
    <x v="58"/>
    <x v="239"/>
    <x v="151"/>
    <x v="421"/>
    <x v="4"/>
  </r>
  <r>
    <x v="0"/>
    <x v="37"/>
    <x v="37"/>
    <x v="0"/>
    <x v="0"/>
    <x v="0"/>
    <x v="0"/>
    <x v="219"/>
    <x v="444"/>
    <x v="184"/>
    <x v="464"/>
    <x v="102"/>
    <x v="229"/>
    <x v="4"/>
  </r>
  <r>
    <x v="0"/>
    <x v="37"/>
    <x v="37"/>
    <x v="1"/>
    <x v="1"/>
    <x v="1"/>
    <x v="1"/>
    <x v="273"/>
    <x v="445"/>
    <x v="185"/>
    <x v="1"/>
    <x v="99"/>
    <x v="250"/>
    <x v="4"/>
  </r>
  <r>
    <x v="0"/>
    <x v="37"/>
    <x v="37"/>
    <x v="3"/>
    <x v="3"/>
    <x v="3"/>
    <x v="2"/>
    <x v="262"/>
    <x v="446"/>
    <x v="61"/>
    <x v="251"/>
    <x v="76"/>
    <x v="422"/>
    <x v="4"/>
  </r>
  <r>
    <x v="0"/>
    <x v="37"/>
    <x v="37"/>
    <x v="2"/>
    <x v="2"/>
    <x v="2"/>
    <x v="3"/>
    <x v="55"/>
    <x v="447"/>
    <x v="129"/>
    <x v="465"/>
    <x v="157"/>
    <x v="423"/>
    <x v="4"/>
  </r>
  <r>
    <x v="0"/>
    <x v="37"/>
    <x v="37"/>
    <x v="5"/>
    <x v="5"/>
    <x v="5"/>
    <x v="4"/>
    <x v="91"/>
    <x v="448"/>
    <x v="55"/>
    <x v="466"/>
    <x v="86"/>
    <x v="424"/>
    <x v="4"/>
  </r>
  <r>
    <x v="0"/>
    <x v="37"/>
    <x v="37"/>
    <x v="11"/>
    <x v="11"/>
    <x v="11"/>
    <x v="5"/>
    <x v="217"/>
    <x v="449"/>
    <x v="79"/>
    <x v="195"/>
    <x v="92"/>
    <x v="425"/>
    <x v="4"/>
  </r>
  <r>
    <x v="0"/>
    <x v="37"/>
    <x v="37"/>
    <x v="6"/>
    <x v="6"/>
    <x v="6"/>
    <x v="6"/>
    <x v="67"/>
    <x v="248"/>
    <x v="46"/>
    <x v="467"/>
    <x v="70"/>
    <x v="353"/>
    <x v="4"/>
  </r>
  <r>
    <x v="0"/>
    <x v="37"/>
    <x v="37"/>
    <x v="4"/>
    <x v="4"/>
    <x v="4"/>
    <x v="7"/>
    <x v="83"/>
    <x v="102"/>
    <x v="68"/>
    <x v="468"/>
    <x v="104"/>
    <x v="426"/>
    <x v="4"/>
  </r>
  <r>
    <x v="0"/>
    <x v="37"/>
    <x v="37"/>
    <x v="8"/>
    <x v="8"/>
    <x v="8"/>
    <x v="8"/>
    <x v="95"/>
    <x v="450"/>
    <x v="147"/>
    <x v="119"/>
    <x v="151"/>
    <x v="427"/>
    <x v="4"/>
  </r>
  <r>
    <x v="0"/>
    <x v="37"/>
    <x v="37"/>
    <x v="7"/>
    <x v="7"/>
    <x v="7"/>
    <x v="9"/>
    <x v="267"/>
    <x v="343"/>
    <x v="66"/>
    <x v="469"/>
    <x v="151"/>
    <x v="427"/>
    <x v="4"/>
  </r>
  <r>
    <x v="0"/>
    <x v="37"/>
    <x v="37"/>
    <x v="14"/>
    <x v="14"/>
    <x v="14"/>
    <x v="10"/>
    <x v="106"/>
    <x v="90"/>
    <x v="52"/>
    <x v="51"/>
    <x v="92"/>
    <x v="425"/>
    <x v="4"/>
  </r>
  <r>
    <x v="0"/>
    <x v="37"/>
    <x v="37"/>
    <x v="9"/>
    <x v="9"/>
    <x v="9"/>
    <x v="10"/>
    <x v="106"/>
    <x v="90"/>
    <x v="59"/>
    <x v="74"/>
    <x v="199"/>
    <x v="428"/>
    <x v="4"/>
  </r>
  <r>
    <x v="0"/>
    <x v="37"/>
    <x v="37"/>
    <x v="31"/>
    <x v="31"/>
    <x v="31"/>
    <x v="12"/>
    <x v="226"/>
    <x v="32"/>
    <x v="54"/>
    <x v="377"/>
    <x v="77"/>
    <x v="183"/>
    <x v="4"/>
  </r>
  <r>
    <x v="0"/>
    <x v="37"/>
    <x v="37"/>
    <x v="12"/>
    <x v="12"/>
    <x v="12"/>
    <x v="13"/>
    <x v="169"/>
    <x v="451"/>
    <x v="44"/>
    <x v="303"/>
    <x v="115"/>
    <x v="283"/>
    <x v="4"/>
  </r>
  <r>
    <x v="0"/>
    <x v="37"/>
    <x v="37"/>
    <x v="15"/>
    <x v="15"/>
    <x v="15"/>
    <x v="14"/>
    <x v="119"/>
    <x v="92"/>
    <x v="37"/>
    <x v="470"/>
    <x v="199"/>
    <x v="428"/>
    <x v="4"/>
  </r>
  <r>
    <x v="0"/>
    <x v="37"/>
    <x v="37"/>
    <x v="13"/>
    <x v="13"/>
    <x v="13"/>
    <x v="15"/>
    <x v="108"/>
    <x v="93"/>
    <x v="38"/>
    <x v="471"/>
    <x v="118"/>
    <x v="249"/>
    <x v="4"/>
  </r>
  <r>
    <x v="0"/>
    <x v="37"/>
    <x v="37"/>
    <x v="19"/>
    <x v="19"/>
    <x v="19"/>
    <x v="16"/>
    <x v="109"/>
    <x v="160"/>
    <x v="52"/>
    <x v="51"/>
    <x v="115"/>
    <x v="283"/>
    <x v="4"/>
  </r>
  <r>
    <x v="0"/>
    <x v="37"/>
    <x v="37"/>
    <x v="10"/>
    <x v="10"/>
    <x v="10"/>
    <x v="16"/>
    <x v="109"/>
    <x v="160"/>
    <x v="36"/>
    <x v="105"/>
    <x v="118"/>
    <x v="249"/>
    <x v="4"/>
  </r>
  <r>
    <x v="0"/>
    <x v="37"/>
    <x v="37"/>
    <x v="16"/>
    <x v="16"/>
    <x v="16"/>
    <x v="16"/>
    <x v="109"/>
    <x v="160"/>
    <x v="46"/>
    <x v="467"/>
    <x v="105"/>
    <x v="241"/>
    <x v="4"/>
  </r>
  <r>
    <x v="0"/>
    <x v="37"/>
    <x v="37"/>
    <x v="20"/>
    <x v="20"/>
    <x v="20"/>
    <x v="19"/>
    <x v="281"/>
    <x v="53"/>
    <x v="44"/>
    <x v="303"/>
    <x v="105"/>
    <x v="241"/>
    <x v="4"/>
  </r>
  <r>
    <x v="0"/>
    <x v="38"/>
    <x v="38"/>
    <x v="0"/>
    <x v="0"/>
    <x v="0"/>
    <x v="0"/>
    <x v="271"/>
    <x v="452"/>
    <x v="178"/>
    <x v="472"/>
    <x v="199"/>
    <x v="372"/>
    <x v="4"/>
  </r>
  <r>
    <x v="0"/>
    <x v="38"/>
    <x v="38"/>
    <x v="1"/>
    <x v="1"/>
    <x v="1"/>
    <x v="1"/>
    <x v="268"/>
    <x v="453"/>
    <x v="186"/>
    <x v="473"/>
    <x v="115"/>
    <x v="371"/>
    <x v="4"/>
  </r>
  <r>
    <x v="0"/>
    <x v="38"/>
    <x v="38"/>
    <x v="3"/>
    <x v="3"/>
    <x v="3"/>
    <x v="2"/>
    <x v="225"/>
    <x v="454"/>
    <x v="187"/>
    <x v="474"/>
    <x v="100"/>
    <x v="429"/>
    <x v="4"/>
  </r>
  <r>
    <x v="0"/>
    <x v="38"/>
    <x v="38"/>
    <x v="7"/>
    <x v="7"/>
    <x v="7"/>
    <x v="3"/>
    <x v="145"/>
    <x v="428"/>
    <x v="19"/>
    <x v="475"/>
    <x v="94"/>
    <x v="430"/>
    <x v="4"/>
  </r>
  <r>
    <x v="0"/>
    <x v="38"/>
    <x v="38"/>
    <x v="4"/>
    <x v="4"/>
    <x v="4"/>
    <x v="4"/>
    <x v="177"/>
    <x v="455"/>
    <x v="62"/>
    <x v="476"/>
    <x v="82"/>
    <x v="431"/>
    <x v="4"/>
  </r>
  <r>
    <x v="0"/>
    <x v="38"/>
    <x v="38"/>
    <x v="27"/>
    <x v="27"/>
    <x v="27"/>
    <x v="5"/>
    <x v="202"/>
    <x v="112"/>
    <x v="120"/>
    <x v="477"/>
    <x v="77"/>
    <x v="432"/>
    <x v="4"/>
  </r>
  <r>
    <x v="0"/>
    <x v="38"/>
    <x v="38"/>
    <x v="5"/>
    <x v="5"/>
    <x v="5"/>
    <x v="6"/>
    <x v="54"/>
    <x v="456"/>
    <x v="85"/>
    <x v="478"/>
    <x v="94"/>
    <x v="430"/>
    <x v="4"/>
  </r>
  <r>
    <x v="0"/>
    <x v="38"/>
    <x v="38"/>
    <x v="2"/>
    <x v="2"/>
    <x v="2"/>
    <x v="7"/>
    <x v="66"/>
    <x v="61"/>
    <x v="67"/>
    <x v="236"/>
    <x v="85"/>
    <x v="141"/>
    <x v="4"/>
  </r>
  <r>
    <x v="0"/>
    <x v="38"/>
    <x v="38"/>
    <x v="6"/>
    <x v="6"/>
    <x v="6"/>
    <x v="8"/>
    <x v="101"/>
    <x v="123"/>
    <x v="75"/>
    <x v="228"/>
    <x v="102"/>
    <x v="370"/>
    <x v="4"/>
  </r>
  <r>
    <x v="0"/>
    <x v="38"/>
    <x v="38"/>
    <x v="11"/>
    <x v="11"/>
    <x v="11"/>
    <x v="9"/>
    <x v="117"/>
    <x v="49"/>
    <x v="59"/>
    <x v="210"/>
    <x v="150"/>
    <x v="330"/>
    <x v="4"/>
  </r>
  <r>
    <x v="0"/>
    <x v="38"/>
    <x v="38"/>
    <x v="8"/>
    <x v="8"/>
    <x v="8"/>
    <x v="10"/>
    <x v="102"/>
    <x v="12"/>
    <x v="67"/>
    <x v="236"/>
    <x v="117"/>
    <x v="433"/>
    <x v="4"/>
  </r>
  <r>
    <x v="0"/>
    <x v="38"/>
    <x v="38"/>
    <x v="18"/>
    <x v="18"/>
    <x v="18"/>
    <x v="10"/>
    <x v="102"/>
    <x v="12"/>
    <x v="52"/>
    <x v="51"/>
    <x v="93"/>
    <x v="434"/>
    <x v="4"/>
  </r>
  <r>
    <x v="0"/>
    <x v="38"/>
    <x v="38"/>
    <x v="9"/>
    <x v="9"/>
    <x v="9"/>
    <x v="12"/>
    <x v="103"/>
    <x v="177"/>
    <x v="55"/>
    <x v="251"/>
    <x v="185"/>
    <x v="435"/>
    <x v="4"/>
  </r>
  <r>
    <x v="0"/>
    <x v="38"/>
    <x v="38"/>
    <x v="24"/>
    <x v="24"/>
    <x v="24"/>
    <x v="13"/>
    <x v="104"/>
    <x v="50"/>
    <x v="36"/>
    <x v="136"/>
    <x v="77"/>
    <x v="432"/>
    <x v="4"/>
  </r>
  <r>
    <x v="0"/>
    <x v="38"/>
    <x v="38"/>
    <x v="15"/>
    <x v="15"/>
    <x v="15"/>
    <x v="14"/>
    <x v="267"/>
    <x v="14"/>
    <x v="59"/>
    <x v="210"/>
    <x v="113"/>
    <x v="436"/>
    <x v="4"/>
  </r>
  <r>
    <x v="0"/>
    <x v="38"/>
    <x v="38"/>
    <x v="26"/>
    <x v="26"/>
    <x v="26"/>
    <x v="15"/>
    <x v="203"/>
    <x v="375"/>
    <x v="36"/>
    <x v="136"/>
    <x v="150"/>
    <x v="330"/>
    <x v="1"/>
  </r>
  <r>
    <x v="0"/>
    <x v="38"/>
    <x v="38"/>
    <x v="28"/>
    <x v="28"/>
    <x v="28"/>
    <x v="16"/>
    <x v="169"/>
    <x v="53"/>
    <x v="66"/>
    <x v="453"/>
    <x v="117"/>
    <x v="433"/>
    <x v="4"/>
  </r>
  <r>
    <x v="0"/>
    <x v="38"/>
    <x v="38"/>
    <x v="12"/>
    <x v="12"/>
    <x v="12"/>
    <x v="17"/>
    <x v="119"/>
    <x v="457"/>
    <x v="38"/>
    <x v="295"/>
    <x v="116"/>
    <x v="373"/>
    <x v="4"/>
  </r>
  <r>
    <x v="0"/>
    <x v="38"/>
    <x v="38"/>
    <x v="10"/>
    <x v="10"/>
    <x v="10"/>
    <x v="18"/>
    <x v="107"/>
    <x v="209"/>
    <x v="81"/>
    <x v="211"/>
    <x v="199"/>
    <x v="372"/>
    <x v="4"/>
  </r>
  <r>
    <x v="0"/>
    <x v="38"/>
    <x v="38"/>
    <x v="13"/>
    <x v="13"/>
    <x v="13"/>
    <x v="19"/>
    <x v="108"/>
    <x v="345"/>
    <x v="61"/>
    <x v="424"/>
    <x v="113"/>
    <x v="436"/>
    <x v="4"/>
  </r>
  <r>
    <x v="0"/>
    <x v="39"/>
    <x v="39"/>
    <x v="0"/>
    <x v="0"/>
    <x v="0"/>
    <x v="0"/>
    <x v="213"/>
    <x v="458"/>
    <x v="168"/>
    <x v="479"/>
    <x v="118"/>
    <x v="56"/>
    <x v="4"/>
  </r>
  <r>
    <x v="0"/>
    <x v="39"/>
    <x v="39"/>
    <x v="5"/>
    <x v="5"/>
    <x v="5"/>
    <x v="1"/>
    <x v="166"/>
    <x v="459"/>
    <x v="188"/>
    <x v="480"/>
    <x v="95"/>
    <x v="437"/>
    <x v="4"/>
  </r>
  <r>
    <x v="0"/>
    <x v="39"/>
    <x v="39"/>
    <x v="3"/>
    <x v="3"/>
    <x v="3"/>
    <x v="2"/>
    <x v="282"/>
    <x v="460"/>
    <x v="127"/>
    <x v="195"/>
    <x v="58"/>
    <x v="438"/>
    <x v="4"/>
  </r>
  <r>
    <x v="0"/>
    <x v="39"/>
    <x v="39"/>
    <x v="1"/>
    <x v="1"/>
    <x v="1"/>
    <x v="3"/>
    <x v="146"/>
    <x v="461"/>
    <x v="185"/>
    <x v="481"/>
    <x v="91"/>
    <x v="248"/>
    <x v="4"/>
  </r>
  <r>
    <x v="0"/>
    <x v="39"/>
    <x v="39"/>
    <x v="4"/>
    <x v="4"/>
    <x v="4"/>
    <x v="4"/>
    <x v="55"/>
    <x v="462"/>
    <x v="125"/>
    <x v="465"/>
    <x v="110"/>
    <x v="439"/>
    <x v="4"/>
  </r>
  <r>
    <x v="0"/>
    <x v="39"/>
    <x v="39"/>
    <x v="7"/>
    <x v="7"/>
    <x v="7"/>
    <x v="5"/>
    <x v="126"/>
    <x v="463"/>
    <x v="143"/>
    <x v="475"/>
    <x v="150"/>
    <x v="84"/>
    <x v="1"/>
  </r>
  <r>
    <x v="0"/>
    <x v="39"/>
    <x v="39"/>
    <x v="6"/>
    <x v="6"/>
    <x v="6"/>
    <x v="6"/>
    <x v="81"/>
    <x v="464"/>
    <x v="75"/>
    <x v="482"/>
    <x v="93"/>
    <x v="226"/>
    <x v="4"/>
  </r>
  <r>
    <x v="0"/>
    <x v="39"/>
    <x v="39"/>
    <x v="11"/>
    <x v="11"/>
    <x v="11"/>
    <x v="7"/>
    <x v="115"/>
    <x v="155"/>
    <x v="80"/>
    <x v="106"/>
    <x v="106"/>
    <x v="440"/>
    <x v="4"/>
  </r>
  <r>
    <x v="0"/>
    <x v="39"/>
    <x v="39"/>
    <x v="2"/>
    <x v="2"/>
    <x v="2"/>
    <x v="8"/>
    <x v="116"/>
    <x v="10"/>
    <x v="36"/>
    <x v="50"/>
    <x v="97"/>
    <x v="135"/>
    <x v="4"/>
  </r>
  <r>
    <x v="0"/>
    <x v="39"/>
    <x v="39"/>
    <x v="15"/>
    <x v="15"/>
    <x v="15"/>
    <x v="9"/>
    <x v="102"/>
    <x v="206"/>
    <x v="18"/>
    <x v="483"/>
    <x v="113"/>
    <x v="441"/>
    <x v="4"/>
  </r>
  <r>
    <x v="0"/>
    <x v="39"/>
    <x v="39"/>
    <x v="8"/>
    <x v="8"/>
    <x v="8"/>
    <x v="10"/>
    <x v="106"/>
    <x v="13"/>
    <x v="80"/>
    <x v="106"/>
    <x v="200"/>
    <x v="442"/>
    <x v="4"/>
  </r>
  <r>
    <x v="0"/>
    <x v="39"/>
    <x v="39"/>
    <x v="13"/>
    <x v="13"/>
    <x v="13"/>
    <x v="11"/>
    <x v="203"/>
    <x v="465"/>
    <x v="38"/>
    <x v="484"/>
    <x v="150"/>
    <x v="84"/>
    <x v="4"/>
  </r>
  <r>
    <x v="0"/>
    <x v="39"/>
    <x v="39"/>
    <x v="9"/>
    <x v="9"/>
    <x v="9"/>
    <x v="11"/>
    <x v="203"/>
    <x v="465"/>
    <x v="68"/>
    <x v="485"/>
    <x v="113"/>
    <x v="441"/>
    <x v="4"/>
  </r>
  <r>
    <x v="0"/>
    <x v="39"/>
    <x v="39"/>
    <x v="26"/>
    <x v="26"/>
    <x v="26"/>
    <x v="13"/>
    <x v="108"/>
    <x v="35"/>
    <x v="34"/>
    <x v="303"/>
    <x v="105"/>
    <x v="54"/>
    <x v="4"/>
  </r>
  <r>
    <x v="0"/>
    <x v="39"/>
    <x v="39"/>
    <x v="10"/>
    <x v="10"/>
    <x v="10"/>
    <x v="13"/>
    <x v="108"/>
    <x v="35"/>
    <x v="86"/>
    <x v="486"/>
    <x v="199"/>
    <x v="443"/>
    <x v="4"/>
  </r>
  <r>
    <x v="0"/>
    <x v="39"/>
    <x v="39"/>
    <x v="12"/>
    <x v="12"/>
    <x v="12"/>
    <x v="13"/>
    <x v="108"/>
    <x v="35"/>
    <x v="34"/>
    <x v="303"/>
    <x v="105"/>
    <x v="54"/>
    <x v="4"/>
  </r>
  <r>
    <x v="0"/>
    <x v="39"/>
    <x v="39"/>
    <x v="16"/>
    <x v="16"/>
    <x v="16"/>
    <x v="16"/>
    <x v="281"/>
    <x v="255"/>
    <x v="58"/>
    <x v="360"/>
    <x v="118"/>
    <x v="56"/>
    <x v="4"/>
  </r>
  <r>
    <x v="0"/>
    <x v="39"/>
    <x v="39"/>
    <x v="24"/>
    <x v="24"/>
    <x v="24"/>
    <x v="17"/>
    <x v="241"/>
    <x v="109"/>
    <x v="46"/>
    <x v="487"/>
    <x v="151"/>
    <x v="198"/>
    <x v="4"/>
  </r>
  <r>
    <x v="0"/>
    <x v="39"/>
    <x v="39"/>
    <x v="14"/>
    <x v="14"/>
    <x v="14"/>
    <x v="18"/>
    <x v="279"/>
    <x v="466"/>
    <x v="52"/>
    <x v="51"/>
    <x v="150"/>
    <x v="84"/>
    <x v="4"/>
  </r>
  <r>
    <x v="0"/>
    <x v="39"/>
    <x v="39"/>
    <x v="17"/>
    <x v="17"/>
    <x v="17"/>
    <x v="19"/>
    <x v="243"/>
    <x v="467"/>
    <x v="35"/>
    <x v="377"/>
    <x v="118"/>
    <x v="56"/>
    <x v="4"/>
  </r>
  <r>
    <x v="0"/>
    <x v="39"/>
    <x v="39"/>
    <x v="20"/>
    <x v="20"/>
    <x v="20"/>
    <x v="19"/>
    <x v="243"/>
    <x v="467"/>
    <x v="54"/>
    <x v="304"/>
    <x v="151"/>
    <x v="198"/>
    <x v="4"/>
  </r>
  <r>
    <x v="0"/>
    <x v="40"/>
    <x v="40"/>
    <x v="0"/>
    <x v="0"/>
    <x v="0"/>
    <x v="0"/>
    <x v="255"/>
    <x v="403"/>
    <x v="189"/>
    <x v="488"/>
    <x v="68"/>
    <x v="199"/>
    <x v="4"/>
  </r>
  <r>
    <x v="0"/>
    <x v="40"/>
    <x v="40"/>
    <x v="4"/>
    <x v="4"/>
    <x v="4"/>
    <x v="1"/>
    <x v="173"/>
    <x v="468"/>
    <x v="190"/>
    <x v="489"/>
    <x v="174"/>
    <x v="444"/>
    <x v="4"/>
  </r>
  <r>
    <x v="0"/>
    <x v="40"/>
    <x v="40"/>
    <x v="1"/>
    <x v="1"/>
    <x v="1"/>
    <x v="2"/>
    <x v="256"/>
    <x v="469"/>
    <x v="191"/>
    <x v="490"/>
    <x v="99"/>
    <x v="373"/>
    <x v="4"/>
  </r>
  <r>
    <x v="0"/>
    <x v="40"/>
    <x v="40"/>
    <x v="3"/>
    <x v="3"/>
    <x v="3"/>
    <x v="3"/>
    <x v="283"/>
    <x v="470"/>
    <x v="49"/>
    <x v="491"/>
    <x v="43"/>
    <x v="445"/>
    <x v="4"/>
  </r>
  <r>
    <x v="0"/>
    <x v="40"/>
    <x v="40"/>
    <x v="5"/>
    <x v="5"/>
    <x v="5"/>
    <x v="4"/>
    <x v="48"/>
    <x v="471"/>
    <x v="184"/>
    <x v="492"/>
    <x v="183"/>
    <x v="446"/>
    <x v="4"/>
  </r>
  <r>
    <x v="0"/>
    <x v="40"/>
    <x v="40"/>
    <x v="7"/>
    <x v="7"/>
    <x v="7"/>
    <x v="5"/>
    <x v="49"/>
    <x v="472"/>
    <x v="172"/>
    <x v="493"/>
    <x v="49"/>
    <x v="156"/>
    <x v="4"/>
  </r>
  <r>
    <x v="0"/>
    <x v="40"/>
    <x v="40"/>
    <x v="6"/>
    <x v="6"/>
    <x v="6"/>
    <x v="6"/>
    <x v="145"/>
    <x v="381"/>
    <x v="152"/>
    <x v="494"/>
    <x v="152"/>
    <x v="447"/>
    <x v="4"/>
  </r>
  <r>
    <x v="0"/>
    <x v="40"/>
    <x v="40"/>
    <x v="2"/>
    <x v="2"/>
    <x v="2"/>
    <x v="7"/>
    <x v="166"/>
    <x v="464"/>
    <x v="160"/>
    <x v="495"/>
    <x v="57"/>
    <x v="448"/>
    <x v="4"/>
  </r>
  <r>
    <x v="0"/>
    <x v="40"/>
    <x v="40"/>
    <x v="11"/>
    <x v="11"/>
    <x v="11"/>
    <x v="8"/>
    <x v="62"/>
    <x v="473"/>
    <x v="83"/>
    <x v="496"/>
    <x v="49"/>
    <x v="156"/>
    <x v="4"/>
  </r>
  <r>
    <x v="0"/>
    <x v="40"/>
    <x v="40"/>
    <x v="13"/>
    <x v="13"/>
    <x v="13"/>
    <x v="9"/>
    <x v="168"/>
    <x v="122"/>
    <x v="127"/>
    <x v="429"/>
    <x v="110"/>
    <x v="449"/>
    <x v="4"/>
  </r>
  <r>
    <x v="0"/>
    <x v="40"/>
    <x v="40"/>
    <x v="15"/>
    <x v="15"/>
    <x v="15"/>
    <x v="9"/>
    <x v="168"/>
    <x v="122"/>
    <x v="84"/>
    <x v="109"/>
    <x v="118"/>
    <x v="433"/>
    <x v="4"/>
  </r>
  <r>
    <x v="0"/>
    <x v="40"/>
    <x v="40"/>
    <x v="8"/>
    <x v="8"/>
    <x v="8"/>
    <x v="11"/>
    <x v="207"/>
    <x v="63"/>
    <x v="119"/>
    <x v="497"/>
    <x v="199"/>
    <x v="435"/>
    <x v="4"/>
  </r>
  <r>
    <x v="0"/>
    <x v="40"/>
    <x v="40"/>
    <x v="17"/>
    <x v="17"/>
    <x v="17"/>
    <x v="12"/>
    <x v="128"/>
    <x v="362"/>
    <x v="55"/>
    <x v="498"/>
    <x v="110"/>
    <x v="449"/>
    <x v="4"/>
  </r>
  <r>
    <x v="0"/>
    <x v="40"/>
    <x v="40"/>
    <x v="9"/>
    <x v="9"/>
    <x v="9"/>
    <x v="13"/>
    <x v="113"/>
    <x v="402"/>
    <x v="129"/>
    <x v="458"/>
    <x v="106"/>
    <x v="266"/>
    <x v="4"/>
  </r>
  <r>
    <x v="0"/>
    <x v="40"/>
    <x v="40"/>
    <x v="12"/>
    <x v="12"/>
    <x v="12"/>
    <x v="14"/>
    <x v="101"/>
    <x v="191"/>
    <x v="47"/>
    <x v="499"/>
    <x v="77"/>
    <x v="319"/>
    <x v="4"/>
  </r>
  <r>
    <x v="0"/>
    <x v="40"/>
    <x v="40"/>
    <x v="10"/>
    <x v="10"/>
    <x v="10"/>
    <x v="15"/>
    <x v="115"/>
    <x v="375"/>
    <x v="51"/>
    <x v="500"/>
    <x v="91"/>
    <x v="436"/>
    <x v="4"/>
  </r>
  <r>
    <x v="0"/>
    <x v="40"/>
    <x v="40"/>
    <x v="16"/>
    <x v="16"/>
    <x v="16"/>
    <x v="16"/>
    <x v="104"/>
    <x v="109"/>
    <x v="68"/>
    <x v="146"/>
    <x v="150"/>
    <x v="450"/>
    <x v="4"/>
  </r>
  <r>
    <x v="0"/>
    <x v="40"/>
    <x v="40"/>
    <x v="24"/>
    <x v="24"/>
    <x v="24"/>
    <x v="17"/>
    <x v="105"/>
    <x v="163"/>
    <x v="36"/>
    <x v="501"/>
    <x v="99"/>
    <x v="373"/>
    <x v="4"/>
  </r>
  <r>
    <x v="0"/>
    <x v="40"/>
    <x v="40"/>
    <x v="20"/>
    <x v="20"/>
    <x v="20"/>
    <x v="18"/>
    <x v="118"/>
    <x v="466"/>
    <x v="46"/>
    <x v="454"/>
    <x v="85"/>
    <x v="146"/>
    <x v="4"/>
  </r>
  <r>
    <x v="0"/>
    <x v="40"/>
    <x v="40"/>
    <x v="26"/>
    <x v="26"/>
    <x v="26"/>
    <x v="19"/>
    <x v="169"/>
    <x v="474"/>
    <x v="38"/>
    <x v="265"/>
    <x v="105"/>
    <x v="224"/>
    <x v="4"/>
  </r>
  <r>
    <x v="0"/>
    <x v="41"/>
    <x v="41"/>
    <x v="0"/>
    <x v="0"/>
    <x v="0"/>
    <x v="0"/>
    <x v="194"/>
    <x v="475"/>
    <x v="192"/>
    <x v="502"/>
    <x v="91"/>
    <x v="87"/>
    <x v="4"/>
  </r>
  <r>
    <x v="0"/>
    <x v="41"/>
    <x v="41"/>
    <x v="3"/>
    <x v="3"/>
    <x v="3"/>
    <x v="1"/>
    <x v="145"/>
    <x v="445"/>
    <x v="147"/>
    <x v="503"/>
    <x v="177"/>
    <x v="451"/>
    <x v="4"/>
  </r>
  <r>
    <x v="0"/>
    <x v="41"/>
    <x v="41"/>
    <x v="1"/>
    <x v="1"/>
    <x v="1"/>
    <x v="2"/>
    <x v="199"/>
    <x v="476"/>
    <x v="150"/>
    <x v="504"/>
    <x v="116"/>
    <x v="101"/>
    <x v="4"/>
  </r>
  <r>
    <x v="0"/>
    <x v="41"/>
    <x v="41"/>
    <x v="4"/>
    <x v="4"/>
    <x v="4"/>
    <x v="3"/>
    <x v="265"/>
    <x v="477"/>
    <x v="147"/>
    <x v="503"/>
    <x v="83"/>
    <x v="452"/>
    <x v="4"/>
  </r>
  <r>
    <x v="0"/>
    <x v="41"/>
    <x v="41"/>
    <x v="5"/>
    <x v="5"/>
    <x v="5"/>
    <x v="4"/>
    <x v="99"/>
    <x v="478"/>
    <x v="67"/>
    <x v="313"/>
    <x v="86"/>
    <x v="453"/>
    <x v="4"/>
  </r>
  <r>
    <x v="0"/>
    <x v="41"/>
    <x v="41"/>
    <x v="6"/>
    <x v="6"/>
    <x v="6"/>
    <x v="5"/>
    <x v="113"/>
    <x v="60"/>
    <x v="68"/>
    <x v="505"/>
    <x v="49"/>
    <x v="454"/>
    <x v="4"/>
  </r>
  <r>
    <x v="0"/>
    <x v="41"/>
    <x v="41"/>
    <x v="7"/>
    <x v="7"/>
    <x v="7"/>
    <x v="6"/>
    <x v="114"/>
    <x v="263"/>
    <x v="45"/>
    <x v="506"/>
    <x v="91"/>
    <x v="87"/>
    <x v="4"/>
  </r>
  <r>
    <x v="0"/>
    <x v="41"/>
    <x v="41"/>
    <x v="2"/>
    <x v="2"/>
    <x v="2"/>
    <x v="6"/>
    <x v="114"/>
    <x v="263"/>
    <x v="66"/>
    <x v="65"/>
    <x v="97"/>
    <x v="232"/>
    <x v="4"/>
  </r>
  <r>
    <x v="0"/>
    <x v="41"/>
    <x v="41"/>
    <x v="15"/>
    <x v="15"/>
    <x v="15"/>
    <x v="8"/>
    <x v="68"/>
    <x v="399"/>
    <x v="45"/>
    <x v="506"/>
    <x v="151"/>
    <x v="193"/>
    <x v="4"/>
  </r>
  <r>
    <x v="0"/>
    <x v="41"/>
    <x v="41"/>
    <x v="8"/>
    <x v="8"/>
    <x v="8"/>
    <x v="9"/>
    <x v="116"/>
    <x v="479"/>
    <x v="45"/>
    <x v="506"/>
    <x v="199"/>
    <x v="428"/>
    <x v="4"/>
  </r>
  <r>
    <x v="0"/>
    <x v="41"/>
    <x v="41"/>
    <x v="11"/>
    <x v="11"/>
    <x v="11"/>
    <x v="10"/>
    <x v="117"/>
    <x v="480"/>
    <x v="59"/>
    <x v="10"/>
    <x v="150"/>
    <x v="170"/>
    <x v="4"/>
  </r>
  <r>
    <x v="0"/>
    <x v="41"/>
    <x v="41"/>
    <x v="22"/>
    <x v="22"/>
    <x v="22"/>
    <x v="11"/>
    <x v="106"/>
    <x v="275"/>
    <x v="46"/>
    <x v="163"/>
    <x v="99"/>
    <x v="250"/>
    <x v="4"/>
  </r>
  <r>
    <x v="0"/>
    <x v="41"/>
    <x v="41"/>
    <x v="10"/>
    <x v="10"/>
    <x v="10"/>
    <x v="12"/>
    <x v="203"/>
    <x v="105"/>
    <x v="37"/>
    <x v="507"/>
    <x v="151"/>
    <x v="193"/>
    <x v="4"/>
  </r>
  <r>
    <x v="0"/>
    <x v="41"/>
    <x v="41"/>
    <x v="17"/>
    <x v="17"/>
    <x v="17"/>
    <x v="13"/>
    <x v="107"/>
    <x v="481"/>
    <x v="34"/>
    <x v="387"/>
    <x v="91"/>
    <x v="87"/>
    <x v="4"/>
  </r>
  <r>
    <x v="0"/>
    <x v="41"/>
    <x v="41"/>
    <x v="32"/>
    <x v="32"/>
    <x v="32"/>
    <x v="14"/>
    <x v="109"/>
    <x v="94"/>
    <x v="34"/>
    <x v="387"/>
    <x v="116"/>
    <x v="101"/>
    <x v="4"/>
  </r>
  <r>
    <x v="0"/>
    <x v="41"/>
    <x v="41"/>
    <x v="12"/>
    <x v="12"/>
    <x v="12"/>
    <x v="14"/>
    <x v="109"/>
    <x v="94"/>
    <x v="46"/>
    <x v="163"/>
    <x v="116"/>
    <x v="101"/>
    <x v="1"/>
  </r>
  <r>
    <x v="0"/>
    <x v="41"/>
    <x v="41"/>
    <x v="13"/>
    <x v="13"/>
    <x v="13"/>
    <x v="16"/>
    <x v="281"/>
    <x v="298"/>
    <x v="58"/>
    <x v="508"/>
    <x v="118"/>
    <x v="249"/>
    <x v="4"/>
  </r>
  <r>
    <x v="0"/>
    <x v="41"/>
    <x v="41"/>
    <x v="18"/>
    <x v="18"/>
    <x v="18"/>
    <x v="16"/>
    <x v="281"/>
    <x v="298"/>
    <x v="52"/>
    <x v="51"/>
    <x v="91"/>
    <x v="87"/>
    <x v="4"/>
  </r>
  <r>
    <x v="0"/>
    <x v="41"/>
    <x v="41"/>
    <x v="20"/>
    <x v="20"/>
    <x v="20"/>
    <x v="18"/>
    <x v="241"/>
    <x v="109"/>
    <x v="53"/>
    <x v="238"/>
    <x v="150"/>
    <x v="170"/>
    <x v="4"/>
  </r>
  <r>
    <x v="0"/>
    <x v="41"/>
    <x v="41"/>
    <x v="21"/>
    <x v="21"/>
    <x v="21"/>
    <x v="18"/>
    <x v="241"/>
    <x v="109"/>
    <x v="52"/>
    <x v="51"/>
    <x v="66"/>
    <x v="455"/>
    <x v="4"/>
  </r>
  <r>
    <x v="0"/>
    <x v="42"/>
    <x v="42"/>
    <x v="0"/>
    <x v="0"/>
    <x v="0"/>
    <x v="0"/>
    <x v="258"/>
    <x v="482"/>
    <x v="60"/>
    <x v="509"/>
    <x v="105"/>
    <x v="209"/>
    <x v="4"/>
  </r>
  <r>
    <x v="0"/>
    <x v="42"/>
    <x v="42"/>
    <x v="4"/>
    <x v="4"/>
    <x v="4"/>
    <x v="1"/>
    <x v="215"/>
    <x v="483"/>
    <x v="193"/>
    <x v="510"/>
    <x v="71"/>
    <x v="456"/>
    <x v="4"/>
  </r>
  <r>
    <x v="0"/>
    <x v="42"/>
    <x v="42"/>
    <x v="1"/>
    <x v="1"/>
    <x v="1"/>
    <x v="2"/>
    <x v="177"/>
    <x v="484"/>
    <x v="63"/>
    <x v="511"/>
    <x v="151"/>
    <x v="290"/>
    <x v="4"/>
  </r>
  <r>
    <x v="0"/>
    <x v="42"/>
    <x v="42"/>
    <x v="3"/>
    <x v="3"/>
    <x v="3"/>
    <x v="3"/>
    <x v="89"/>
    <x v="485"/>
    <x v="55"/>
    <x v="237"/>
    <x v="108"/>
    <x v="457"/>
    <x v="4"/>
  </r>
  <r>
    <x v="0"/>
    <x v="42"/>
    <x v="42"/>
    <x v="5"/>
    <x v="5"/>
    <x v="5"/>
    <x v="4"/>
    <x v="274"/>
    <x v="226"/>
    <x v="125"/>
    <x v="512"/>
    <x v="92"/>
    <x v="458"/>
    <x v="4"/>
  </r>
  <r>
    <x v="0"/>
    <x v="42"/>
    <x v="42"/>
    <x v="7"/>
    <x v="7"/>
    <x v="7"/>
    <x v="4"/>
    <x v="274"/>
    <x v="226"/>
    <x v="78"/>
    <x v="513"/>
    <x v="77"/>
    <x v="251"/>
    <x v="4"/>
  </r>
  <r>
    <x v="0"/>
    <x v="42"/>
    <x v="42"/>
    <x v="6"/>
    <x v="6"/>
    <x v="6"/>
    <x v="6"/>
    <x v="129"/>
    <x v="486"/>
    <x v="18"/>
    <x v="181"/>
    <x v="49"/>
    <x v="459"/>
    <x v="4"/>
  </r>
  <r>
    <x v="0"/>
    <x v="42"/>
    <x v="42"/>
    <x v="2"/>
    <x v="2"/>
    <x v="2"/>
    <x v="7"/>
    <x v="82"/>
    <x v="261"/>
    <x v="129"/>
    <x v="514"/>
    <x v="115"/>
    <x v="460"/>
    <x v="4"/>
  </r>
  <r>
    <x v="0"/>
    <x v="42"/>
    <x v="42"/>
    <x v="28"/>
    <x v="28"/>
    <x v="28"/>
    <x v="8"/>
    <x v="118"/>
    <x v="336"/>
    <x v="75"/>
    <x v="191"/>
    <x v="199"/>
    <x v="461"/>
    <x v="4"/>
  </r>
  <r>
    <x v="0"/>
    <x v="42"/>
    <x v="42"/>
    <x v="8"/>
    <x v="8"/>
    <x v="8"/>
    <x v="8"/>
    <x v="118"/>
    <x v="336"/>
    <x v="80"/>
    <x v="432"/>
    <x v="117"/>
    <x v="144"/>
    <x v="4"/>
  </r>
  <r>
    <x v="0"/>
    <x v="42"/>
    <x v="42"/>
    <x v="11"/>
    <x v="11"/>
    <x v="11"/>
    <x v="10"/>
    <x v="203"/>
    <x v="252"/>
    <x v="38"/>
    <x v="515"/>
    <x v="150"/>
    <x v="49"/>
    <x v="4"/>
  </r>
  <r>
    <x v="0"/>
    <x v="42"/>
    <x v="42"/>
    <x v="9"/>
    <x v="9"/>
    <x v="9"/>
    <x v="11"/>
    <x v="226"/>
    <x v="106"/>
    <x v="37"/>
    <x v="403"/>
    <x v="113"/>
    <x v="462"/>
    <x v="4"/>
  </r>
  <r>
    <x v="0"/>
    <x v="42"/>
    <x v="42"/>
    <x v="13"/>
    <x v="13"/>
    <x v="13"/>
    <x v="12"/>
    <x v="169"/>
    <x v="190"/>
    <x v="61"/>
    <x v="498"/>
    <x v="116"/>
    <x v="108"/>
    <x v="4"/>
  </r>
  <r>
    <x v="0"/>
    <x v="42"/>
    <x v="42"/>
    <x v="24"/>
    <x v="24"/>
    <x v="24"/>
    <x v="13"/>
    <x v="107"/>
    <x v="328"/>
    <x v="54"/>
    <x v="304"/>
    <x v="115"/>
    <x v="460"/>
    <x v="4"/>
  </r>
  <r>
    <x v="0"/>
    <x v="42"/>
    <x v="42"/>
    <x v="14"/>
    <x v="14"/>
    <x v="14"/>
    <x v="14"/>
    <x v="108"/>
    <x v="433"/>
    <x v="52"/>
    <x v="51"/>
    <x v="102"/>
    <x v="297"/>
    <x v="4"/>
  </r>
  <r>
    <x v="0"/>
    <x v="42"/>
    <x v="42"/>
    <x v="15"/>
    <x v="15"/>
    <x v="15"/>
    <x v="14"/>
    <x v="108"/>
    <x v="433"/>
    <x v="86"/>
    <x v="254"/>
    <x v="199"/>
    <x v="461"/>
    <x v="4"/>
  </r>
  <r>
    <x v="0"/>
    <x v="42"/>
    <x v="42"/>
    <x v="10"/>
    <x v="10"/>
    <x v="10"/>
    <x v="16"/>
    <x v="281"/>
    <x v="193"/>
    <x v="38"/>
    <x v="515"/>
    <x v="199"/>
    <x v="461"/>
    <x v="4"/>
  </r>
  <r>
    <x v="0"/>
    <x v="42"/>
    <x v="42"/>
    <x v="27"/>
    <x v="27"/>
    <x v="27"/>
    <x v="16"/>
    <x v="281"/>
    <x v="193"/>
    <x v="86"/>
    <x v="254"/>
    <x v="185"/>
    <x v="463"/>
    <x v="4"/>
  </r>
  <r>
    <x v="0"/>
    <x v="42"/>
    <x v="42"/>
    <x v="35"/>
    <x v="35"/>
    <x v="35"/>
    <x v="18"/>
    <x v="241"/>
    <x v="487"/>
    <x v="46"/>
    <x v="516"/>
    <x v="151"/>
    <x v="290"/>
    <x v="4"/>
  </r>
  <r>
    <x v="0"/>
    <x v="42"/>
    <x v="42"/>
    <x v="12"/>
    <x v="12"/>
    <x v="12"/>
    <x v="18"/>
    <x v="241"/>
    <x v="487"/>
    <x v="44"/>
    <x v="97"/>
    <x v="116"/>
    <x v="108"/>
    <x v="4"/>
  </r>
  <r>
    <x v="0"/>
    <x v="43"/>
    <x v="43"/>
    <x v="0"/>
    <x v="0"/>
    <x v="0"/>
    <x v="0"/>
    <x v="145"/>
    <x v="488"/>
    <x v="63"/>
    <x v="517"/>
    <x v="85"/>
    <x v="464"/>
    <x v="4"/>
  </r>
  <r>
    <x v="0"/>
    <x v="43"/>
    <x v="43"/>
    <x v="1"/>
    <x v="1"/>
    <x v="1"/>
    <x v="1"/>
    <x v="110"/>
    <x v="439"/>
    <x v="33"/>
    <x v="282"/>
    <x v="150"/>
    <x v="455"/>
    <x v="4"/>
  </r>
  <r>
    <x v="0"/>
    <x v="43"/>
    <x v="43"/>
    <x v="2"/>
    <x v="2"/>
    <x v="2"/>
    <x v="2"/>
    <x v="53"/>
    <x v="489"/>
    <x v="62"/>
    <x v="518"/>
    <x v="63"/>
    <x v="465"/>
    <x v="4"/>
  </r>
  <r>
    <x v="0"/>
    <x v="43"/>
    <x v="43"/>
    <x v="3"/>
    <x v="3"/>
    <x v="3"/>
    <x v="3"/>
    <x v="126"/>
    <x v="332"/>
    <x v="37"/>
    <x v="368"/>
    <x v="54"/>
    <x v="466"/>
    <x v="4"/>
  </r>
  <r>
    <x v="0"/>
    <x v="43"/>
    <x v="43"/>
    <x v="5"/>
    <x v="5"/>
    <x v="5"/>
    <x v="4"/>
    <x v="100"/>
    <x v="490"/>
    <x v="59"/>
    <x v="519"/>
    <x v="67"/>
    <x v="467"/>
    <x v="4"/>
  </r>
  <r>
    <x v="0"/>
    <x v="43"/>
    <x v="43"/>
    <x v="4"/>
    <x v="4"/>
    <x v="4"/>
    <x v="5"/>
    <x v="82"/>
    <x v="491"/>
    <x v="66"/>
    <x v="10"/>
    <x v="95"/>
    <x v="246"/>
    <x v="4"/>
  </r>
  <r>
    <x v="0"/>
    <x v="43"/>
    <x v="43"/>
    <x v="6"/>
    <x v="6"/>
    <x v="6"/>
    <x v="6"/>
    <x v="67"/>
    <x v="429"/>
    <x v="58"/>
    <x v="357"/>
    <x v="110"/>
    <x v="459"/>
    <x v="4"/>
  </r>
  <r>
    <x v="0"/>
    <x v="43"/>
    <x v="43"/>
    <x v="7"/>
    <x v="7"/>
    <x v="7"/>
    <x v="7"/>
    <x v="115"/>
    <x v="44"/>
    <x v="23"/>
    <x v="520"/>
    <x v="113"/>
    <x v="363"/>
    <x v="4"/>
  </r>
  <r>
    <x v="0"/>
    <x v="43"/>
    <x v="43"/>
    <x v="9"/>
    <x v="9"/>
    <x v="9"/>
    <x v="8"/>
    <x v="69"/>
    <x v="492"/>
    <x v="55"/>
    <x v="521"/>
    <x v="151"/>
    <x v="468"/>
    <x v="4"/>
  </r>
  <r>
    <x v="0"/>
    <x v="43"/>
    <x v="43"/>
    <x v="8"/>
    <x v="8"/>
    <x v="8"/>
    <x v="8"/>
    <x v="69"/>
    <x v="492"/>
    <x v="147"/>
    <x v="522"/>
    <x v="185"/>
    <x v="469"/>
    <x v="4"/>
  </r>
  <r>
    <x v="0"/>
    <x v="43"/>
    <x v="43"/>
    <x v="11"/>
    <x v="11"/>
    <x v="11"/>
    <x v="10"/>
    <x v="84"/>
    <x v="172"/>
    <x v="68"/>
    <x v="523"/>
    <x v="99"/>
    <x v="470"/>
    <x v="4"/>
  </r>
  <r>
    <x v="0"/>
    <x v="43"/>
    <x v="43"/>
    <x v="14"/>
    <x v="14"/>
    <x v="14"/>
    <x v="11"/>
    <x v="105"/>
    <x v="420"/>
    <x v="53"/>
    <x v="114"/>
    <x v="104"/>
    <x v="471"/>
    <x v="4"/>
  </r>
  <r>
    <x v="0"/>
    <x v="43"/>
    <x v="43"/>
    <x v="10"/>
    <x v="10"/>
    <x v="10"/>
    <x v="12"/>
    <x v="267"/>
    <x v="493"/>
    <x v="36"/>
    <x v="486"/>
    <x v="115"/>
    <x v="472"/>
    <x v="4"/>
  </r>
  <r>
    <x v="0"/>
    <x v="43"/>
    <x v="43"/>
    <x v="16"/>
    <x v="16"/>
    <x v="16"/>
    <x v="13"/>
    <x v="106"/>
    <x v="189"/>
    <x v="58"/>
    <x v="357"/>
    <x v="115"/>
    <x v="472"/>
    <x v="4"/>
  </r>
  <r>
    <x v="0"/>
    <x v="43"/>
    <x v="43"/>
    <x v="13"/>
    <x v="13"/>
    <x v="13"/>
    <x v="14"/>
    <x v="203"/>
    <x v="494"/>
    <x v="38"/>
    <x v="524"/>
    <x v="150"/>
    <x v="455"/>
    <x v="4"/>
  </r>
  <r>
    <x v="0"/>
    <x v="43"/>
    <x v="43"/>
    <x v="12"/>
    <x v="12"/>
    <x v="12"/>
    <x v="15"/>
    <x v="226"/>
    <x v="275"/>
    <x v="44"/>
    <x v="525"/>
    <x v="102"/>
    <x v="238"/>
    <x v="4"/>
  </r>
  <r>
    <x v="0"/>
    <x v="43"/>
    <x v="43"/>
    <x v="18"/>
    <x v="18"/>
    <x v="18"/>
    <x v="16"/>
    <x v="169"/>
    <x v="105"/>
    <x v="52"/>
    <x v="51"/>
    <x v="102"/>
    <x v="238"/>
    <x v="4"/>
  </r>
  <r>
    <x v="0"/>
    <x v="43"/>
    <x v="43"/>
    <x v="15"/>
    <x v="15"/>
    <x v="15"/>
    <x v="17"/>
    <x v="107"/>
    <x v="126"/>
    <x v="58"/>
    <x v="357"/>
    <x v="105"/>
    <x v="322"/>
    <x v="4"/>
  </r>
  <r>
    <x v="0"/>
    <x v="43"/>
    <x v="43"/>
    <x v="26"/>
    <x v="26"/>
    <x v="26"/>
    <x v="18"/>
    <x v="109"/>
    <x v="495"/>
    <x v="61"/>
    <x v="184"/>
    <x v="199"/>
    <x v="197"/>
    <x v="4"/>
  </r>
  <r>
    <x v="0"/>
    <x v="43"/>
    <x v="43"/>
    <x v="17"/>
    <x v="17"/>
    <x v="17"/>
    <x v="19"/>
    <x v="242"/>
    <x v="466"/>
    <x v="52"/>
    <x v="51"/>
    <x v="91"/>
    <x v="351"/>
    <x v="4"/>
  </r>
  <r>
    <x v="0"/>
    <x v="44"/>
    <x v="44"/>
    <x v="13"/>
    <x v="13"/>
    <x v="13"/>
    <x v="0"/>
    <x v="66"/>
    <x v="496"/>
    <x v="44"/>
    <x v="429"/>
    <x v="96"/>
    <x v="473"/>
    <x v="4"/>
  </r>
  <r>
    <x v="0"/>
    <x v="44"/>
    <x v="44"/>
    <x v="0"/>
    <x v="0"/>
    <x v="0"/>
    <x v="0"/>
    <x v="66"/>
    <x v="496"/>
    <x v="74"/>
    <x v="526"/>
    <x v="118"/>
    <x v="131"/>
    <x v="4"/>
  </r>
  <r>
    <x v="0"/>
    <x v="44"/>
    <x v="44"/>
    <x v="4"/>
    <x v="4"/>
    <x v="4"/>
    <x v="2"/>
    <x v="82"/>
    <x v="299"/>
    <x v="86"/>
    <x v="165"/>
    <x v="67"/>
    <x v="474"/>
    <x v="4"/>
  </r>
  <r>
    <x v="0"/>
    <x v="44"/>
    <x v="44"/>
    <x v="2"/>
    <x v="2"/>
    <x v="2"/>
    <x v="3"/>
    <x v="95"/>
    <x v="497"/>
    <x v="80"/>
    <x v="527"/>
    <x v="99"/>
    <x v="475"/>
    <x v="4"/>
  </r>
  <r>
    <x v="0"/>
    <x v="44"/>
    <x v="44"/>
    <x v="1"/>
    <x v="1"/>
    <x v="1"/>
    <x v="3"/>
    <x v="95"/>
    <x v="497"/>
    <x v="88"/>
    <x v="528"/>
    <x v="113"/>
    <x v="19"/>
    <x v="4"/>
  </r>
  <r>
    <x v="0"/>
    <x v="44"/>
    <x v="44"/>
    <x v="11"/>
    <x v="11"/>
    <x v="11"/>
    <x v="5"/>
    <x v="106"/>
    <x v="498"/>
    <x v="36"/>
    <x v="310"/>
    <x v="106"/>
    <x v="476"/>
    <x v="4"/>
  </r>
  <r>
    <x v="0"/>
    <x v="44"/>
    <x v="44"/>
    <x v="3"/>
    <x v="3"/>
    <x v="3"/>
    <x v="6"/>
    <x v="119"/>
    <x v="6"/>
    <x v="52"/>
    <x v="51"/>
    <x v="77"/>
    <x v="477"/>
    <x v="4"/>
  </r>
  <r>
    <x v="0"/>
    <x v="44"/>
    <x v="44"/>
    <x v="5"/>
    <x v="5"/>
    <x v="5"/>
    <x v="7"/>
    <x v="108"/>
    <x v="499"/>
    <x v="34"/>
    <x v="529"/>
    <x v="105"/>
    <x v="402"/>
    <x v="4"/>
  </r>
  <r>
    <x v="0"/>
    <x v="44"/>
    <x v="44"/>
    <x v="8"/>
    <x v="8"/>
    <x v="8"/>
    <x v="8"/>
    <x v="109"/>
    <x v="500"/>
    <x v="68"/>
    <x v="530"/>
    <x v="201"/>
    <x v="309"/>
    <x v="4"/>
  </r>
  <r>
    <x v="0"/>
    <x v="44"/>
    <x v="44"/>
    <x v="9"/>
    <x v="9"/>
    <x v="9"/>
    <x v="9"/>
    <x v="241"/>
    <x v="62"/>
    <x v="81"/>
    <x v="531"/>
    <x v="201"/>
    <x v="309"/>
    <x v="4"/>
  </r>
  <r>
    <x v="0"/>
    <x v="44"/>
    <x v="44"/>
    <x v="7"/>
    <x v="7"/>
    <x v="7"/>
    <x v="10"/>
    <x v="242"/>
    <x v="501"/>
    <x v="34"/>
    <x v="529"/>
    <x v="199"/>
    <x v="191"/>
    <x v="4"/>
  </r>
  <r>
    <x v="0"/>
    <x v="44"/>
    <x v="44"/>
    <x v="12"/>
    <x v="12"/>
    <x v="12"/>
    <x v="10"/>
    <x v="242"/>
    <x v="501"/>
    <x v="35"/>
    <x v="444"/>
    <x v="118"/>
    <x v="131"/>
    <x v="4"/>
  </r>
  <r>
    <x v="0"/>
    <x v="44"/>
    <x v="44"/>
    <x v="10"/>
    <x v="10"/>
    <x v="10"/>
    <x v="12"/>
    <x v="243"/>
    <x v="13"/>
    <x v="46"/>
    <x v="437"/>
    <x v="199"/>
    <x v="191"/>
    <x v="4"/>
  </r>
  <r>
    <x v="0"/>
    <x v="44"/>
    <x v="44"/>
    <x v="6"/>
    <x v="6"/>
    <x v="6"/>
    <x v="13"/>
    <x v="244"/>
    <x v="265"/>
    <x v="52"/>
    <x v="51"/>
    <x v="116"/>
    <x v="389"/>
    <x v="4"/>
  </r>
  <r>
    <x v="0"/>
    <x v="44"/>
    <x v="44"/>
    <x v="19"/>
    <x v="19"/>
    <x v="19"/>
    <x v="13"/>
    <x v="244"/>
    <x v="265"/>
    <x v="53"/>
    <x v="532"/>
    <x v="151"/>
    <x v="352"/>
    <x v="4"/>
  </r>
  <r>
    <x v="0"/>
    <x v="44"/>
    <x v="44"/>
    <x v="16"/>
    <x v="16"/>
    <x v="16"/>
    <x v="13"/>
    <x v="244"/>
    <x v="265"/>
    <x v="35"/>
    <x v="444"/>
    <x v="113"/>
    <x v="19"/>
    <x v="4"/>
  </r>
  <r>
    <x v="0"/>
    <x v="44"/>
    <x v="44"/>
    <x v="18"/>
    <x v="18"/>
    <x v="18"/>
    <x v="13"/>
    <x v="244"/>
    <x v="265"/>
    <x v="52"/>
    <x v="51"/>
    <x v="151"/>
    <x v="352"/>
    <x v="4"/>
  </r>
  <r>
    <x v="0"/>
    <x v="44"/>
    <x v="44"/>
    <x v="14"/>
    <x v="14"/>
    <x v="14"/>
    <x v="17"/>
    <x v="245"/>
    <x v="374"/>
    <x v="53"/>
    <x v="532"/>
    <x v="118"/>
    <x v="131"/>
    <x v="4"/>
  </r>
  <r>
    <x v="0"/>
    <x v="44"/>
    <x v="44"/>
    <x v="23"/>
    <x v="23"/>
    <x v="23"/>
    <x v="18"/>
    <x v="284"/>
    <x v="502"/>
    <x v="35"/>
    <x v="444"/>
    <x v="200"/>
    <x v="478"/>
    <x v="4"/>
  </r>
  <r>
    <x v="0"/>
    <x v="44"/>
    <x v="44"/>
    <x v="15"/>
    <x v="15"/>
    <x v="15"/>
    <x v="18"/>
    <x v="284"/>
    <x v="502"/>
    <x v="35"/>
    <x v="444"/>
    <x v="185"/>
    <x v="479"/>
    <x v="4"/>
  </r>
  <r>
    <x v="0"/>
    <x v="44"/>
    <x v="44"/>
    <x v="21"/>
    <x v="21"/>
    <x v="21"/>
    <x v="18"/>
    <x v="284"/>
    <x v="502"/>
    <x v="52"/>
    <x v="51"/>
    <x v="113"/>
    <x v="19"/>
    <x v="4"/>
  </r>
  <r>
    <x v="0"/>
    <x v="45"/>
    <x v="45"/>
    <x v="0"/>
    <x v="0"/>
    <x v="0"/>
    <x v="0"/>
    <x v="115"/>
    <x v="482"/>
    <x v="127"/>
    <x v="533"/>
    <x v="118"/>
    <x v="480"/>
    <x v="4"/>
  </r>
  <r>
    <x v="0"/>
    <x v="45"/>
    <x v="45"/>
    <x v="3"/>
    <x v="3"/>
    <x v="3"/>
    <x v="1"/>
    <x v="105"/>
    <x v="426"/>
    <x v="46"/>
    <x v="400"/>
    <x v="103"/>
    <x v="481"/>
    <x v="4"/>
  </r>
  <r>
    <x v="0"/>
    <x v="45"/>
    <x v="45"/>
    <x v="4"/>
    <x v="4"/>
    <x v="4"/>
    <x v="2"/>
    <x v="203"/>
    <x v="503"/>
    <x v="38"/>
    <x v="534"/>
    <x v="150"/>
    <x v="482"/>
    <x v="4"/>
  </r>
  <r>
    <x v="0"/>
    <x v="45"/>
    <x v="45"/>
    <x v="1"/>
    <x v="1"/>
    <x v="1"/>
    <x v="3"/>
    <x v="226"/>
    <x v="268"/>
    <x v="75"/>
    <x v="535"/>
    <x v="201"/>
    <x v="309"/>
    <x v="4"/>
  </r>
  <r>
    <x v="0"/>
    <x v="45"/>
    <x v="45"/>
    <x v="5"/>
    <x v="5"/>
    <x v="5"/>
    <x v="4"/>
    <x v="169"/>
    <x v="40"/>
    <x v="61"/>
    <x v="536"/>
    <x v="116"/>
    <x v="483"/>
    <x v="4"/>
  </r>
  <r>
    <x v="0"/>
    <x v="45"/>
    <x v="45"/>
    <x v="8"/>
    <x v="8"/>
    <x v="8"/>
    <x v="5"/>
    <x v="119"/>
    <x v="504"/>
    <x v="68"/>
    <x v="537"/>
    <x v="117"/>
    <x v="350"/>
    <x v="4"/>
  </r>
  <r>
    <x v="0"/>
    <x v="45"/>
    <x v="45"/>
    <x v="7"/>
    <x v="7"/>
    <x v="7"/>
    <x v="6"/>
    <x v="107"/>
    <x v="505"/>
    <x v="86"/>
    <x v="538"/>
    <x v="113"/>
    <x v="484"/>
    <x v="4"/>
  </r>
  <r>
    <x v="0"/>
    <x v="45"/>
    <x v="45"/>
    <x v="6"/>
    <x v="6"/>
    <x v="6"/>
    <x v="7"/>
    <x v="281"/>
    <x v="506"/>
    <x v="44"/>
    <x v="539"/>
    <x v="105"/>
    <x v="485"/>
    <x v="4"/>
  </r>
  <r>
    <x v="0"/>
    <x v="45"/>
    <x v="45"/>
    <x v="15"/>
    <x v="15"/>
    <x v="15"/>
    <x v="8"/>
    <x v="279"/>
    <x v="507"/>
    <x v="34"/>
    <x v="540"/>
    <x v="113"/>
    <x v="484"/>
    <x v="4"/>
  </r>
  <r>
    <x v="0"/>
    <x v="45"/>
    <x v="45"/>
    <x v="12"/>
    <x v="12"/>
    <x v="12"/>
    <x v="9"/>
    <x v="243"/>
    <x v="508"/>
    <x v="44"/>
    <x v="539"/>
    <x v="199"/>
    <x v="103"/>
    <x v="4"/>
  </r>
  <r>
    <x v="0"/>
    <x v="45"/>
    <x v="45"/>
    <x v="2"/>
    <x v="2"/>
    <x v="2"/>
    <x v="10"/>
    <x v="244"/>
    <x v="104"/>
    <x v="35"/>
    <x v="192"/>
    <x v="113"/>
    <x v="484"/>
    <x v="4"/>
  </r>
  <r>
    <x v="0"/>
    <x v="45"/>
    <x v="45"/>
    <x v="36"/>
    <x v="36"/>
    <x v="36"/>
    <x v="11"/>
    <x v="245"/>
    <x v="509"/>
    <x v="53"/>
    <x v="421"/>
    <x v="118"/>
    <x v="480"/>
    <x v="4"/>
  </r>
  <r>
    <x v="0"/>
    <x v="45"/>
    <x v="45"/>
    <x v="9"/>
    <x v="9"/>
    <x v="9"/>
    <x v="11"/>
    <x v="245"/>
    <x v="509"/>
    <x v="46"/>
    <x v="400"/>
    <x v="185"/>
    <x v="486"/>
    <x v="4"/>
  </r>
  <r>
    <x v="0"/>
    <x v="45"/>
    <x v="45"/>
    <x v="24"/>
    <x v="24"/>
    <x v="24"/>
    <x v="13"/>
    <x v="246"/>
    <x v="220"/>
    <x v="53"/>
    <x v="421"/>
    <x v="113"/>
    <x v="484"/>
    <x v="4"/>
  </r>
  <r>
    <x v="0"/>
    <x v="45"/>
    <x v="45"/>
    <x v="10"/>
    <x v="10"/>
    <x v="10"/>
    <x v="13"/>
    <x v="246"/>
    <x v="220"/>
    <x v="52"/>
    <x v="51"/>
    <x v="118"/>
    <x v="480"/>
    <x v="4"/>
  </r>
  <r>
    <x v="0"/>
    <x v="45"/>
    <x v="45"/>
    <x v="13"/>
    <x v="13"/>
    <x v="13"/>
    <x v="15"/>
    <x v="284"/>
    <x v="385"/>
    <x v="44"/>
    <x v="539"/>
    <x v="200"/>
    <x v="237"/>
    <x v="4"/>
  </r>
  <r>
    <x v="0"/>
    <x v="45"/>
    <x v="45"/>
    <x v="11"/>
    <x v="11"/>
    <x v="11"/>
    <x v="15"/>
    <x v="284"/>
    <x v="385"/>
    <x v="54"/>
    <x v="193"/>
    <x v="117"/>
    <x v="350"/>
    <x v="4"/>
  </r>
  <r>
    <x v="0"/>
    <x v="45"/>
    <x v="45"/>
    <x v="17"/>
    <x v="17"/>
    <x v="17"/>
    <x v="17"/>
    <x v="285"/>
    <x v="18"/>
    <x v="52"/>
    <x v="51"/>
    <x v="199"/>
    <x v="103"/>
    <x v="4"/>
  </r>
  <r>
    <x v="0"/>
    <x v="45"/>
    <x v="45"/>
    <x v="29"/>
    <x v="29"/>
    <x v="29"/>
    <x v="17"/>
    <x v="285"/>
    <x v="18"/>
    <x v="52"/>
    <x v="51"/>
    <x v="199"/>
    <x v="103"/>
    <x v="4"/>
  </r>
  <r>
    <x v="0"/>
    <x v="45"/>
    <x v="45"/>
    <x v="14"/>
    <x v="14"/>
    <x v="14"/>
    <x v="17"/>
    <x v="285"/>
    <x v="18"/>
    <x v="53"/>
    <x v="421"/>
    <x v="117"/>
    <x v="350"/>
    <x v="4"/>
  </r>
  <r>
    <x v="0"/>
    <x v="45"/>
    <x v="45"/>
    <x v="16"/>
    <x v="16"/>
    <x v="16"/>
    <x v="17"/>
    <x v="285"/>
    <x v="18"/>
    <x v="35"/>
    <x v="192"/>
    <x v="200"/>
    <x v="237"/>
    <x v="4"/>
  </r>
  <r>
    <x v="0"/>
    <x v="45"/>
    <x v="45"/>
    <x v="28"/>
    <x v="28"/>
    <x v="28"/>
    <x v="17"/>
    <x v="285"/>
    <x v="18"/>
    <x v="54"/>
    <x v="193"/>
    <x v="185"/>
    <x v="486"/>
    <x v="4"/>
  </r>
  <r>
    <x v="0"/>
    <x v="46"/>
    <x v="46"/>
    <x v="0"/>
    <x v="0"/>
    <x v="0"/>
    <x v="0"/>
    <x v="108"/>
    <x v="510"/>
    <x v="66"/>
    <x v="541"/>
    <x v="201"/>
    <x v="309"/>
    <x v="4"/>
  </r>
  <r>
    <x v="0"/>
    <x v="46"/>
    <x v="46"/>
    <x v="3"/>
    <x v="3"/>
    <x v="3"/>
    <x v="1"/>
    <x v="281"/>
    <x v="511"/>
    <x v="58"/>
    <x v="538"/>
    <x v="118"/>
    <x v="487"/>
    <x v="4"/>
  </r>
  <r>
    <x v="0"/>
    <x v="46"/>
    <x v="46"/>
    <x v="7"/>
    <x v="7"/>
    <x v="7"/>
    <x v="2"/>
    <x v="242"/>
    <x v="512"/>
    <x v="38"/>
    <x v="542"/>
    <x v="200"/>
    <x v="380"/>
    <x v="4"/>
  </r>
  <r>
    <x v="0"/>
    <x v="46"/>
    <x v="46"/>
    <x v="1"/>
    <x v="1"/>
    <x v="1"/>
    <x v="2"/>
    <x v="242"/>
    <x v="512"/>
    <x v="61"/>
    <x v="543"/>
    <x v="201"/>
    <x v="309"/>
    <x v="4"/>
  </r>
  <r>
    <x v="0"/>
    <x v="46"/>
    <x v="46"/>
    <x v="4"/>
    <x v="4"/>
    <x v="4"/>
    <x v="4"/>
    <x v="243"/>
    <x v="390"/>
    <x v="58"/>
    <x v="538"/>
    <x v="185"/>
    <x v="488"/>
    <x v="4"/>
  </r>
  <r>
    <x v="0"/>
    <x v="46"/>
    <x v="46"/>
    <x v="9"/>
    <x v="9"/>
    <x v="9"/>
    <x v="5"/>
    <x v="244"/>
    <x v="226"/>
    <x v="34"/>
    <x v="544"/>
    <x v="185"/>
    <x v="488"/>
    <x v="4"/>
  </r>
  <r>
    <x v="0"/>
    <x v="46"/>
    <x v="46"/>
    <x v="8"/>
    <x v="8"/>
    <x v="8"/>
    <x v="6"/>
    <x v="246"/>
    <x v="26"/>
    <x v="46"/>
    <x v="545"/>
    <x v="200"/>
    <x v="380"/>
    <x v="4"/>
  </r>
  <r>
    <x v="0"/>
    <x v="46"/>
    <x v="46"/>
    <x v="5"/>
    <x v="5"/>
    <x v="5"/>
    <x v="7"/>
    <x v="284"/>
    <x v="408"/>
    <x v="44"/>
    <x v="546"/>
    <x v="200"/>
    <x v="380"/>
    <x v="4"/>
  </r>
  <r>
    <x v="0"/>
    <x v="46"/>
    <x v="46"/>
    <x v="22"/>
    <x v="22"/>
    <x v="22"/>
    <x v="7"/>
    <x v="284"/>
    <x v="408"/>
    <x v="35"/>
    <x v="547"/>
    <x v="185"/>
    <x v="488"/>
    <x v="4"/>
  </r>
  <r>
    <x v="0"/>
    <x v="46"/>
    <x v="46"/>
    <x v="15"/>
    <x v="15"/>
    <x v="15"/>
    <x v="7"/>
    <x v="284"/>
    <x v="408"/>
    <x v="46"/>
    <x v="545"/>
    <x v="201"/>
    <x v="309"/>
    <x v="4"/>
  </r>
  <r>
    <x v="0"/>
    <x v="46"/>
    <x v="46"/>
    <x v="6"/>
    <x v="6"/>
    <x v="6"/>
    <x v="10"/>
    <x v="286"/>
    <x v="140"/>
    <x v="53"/>
    <x v="376"/>
    <x v="185"/>
    <x v="488"/>
    <x v="4"/>
  </r>
  <r>
    <x v="0"/>
    <x v="46"/>
    <x v="46"/>
    <x v="24"/>
    <x v="24"/>
    <x v="24"/>
    <x v="10"/>
    <x v="286"/>
    <x v="140"/>
    <x v="53"/>
    <x v="376"/>
    <x v="185"/>
    <x v="488"/>
    <x v="4"/>
  </r>
  <r>
    <x v="0"/>
    <x v="46"/>
    <x v="46"/>
    <x v="11"/>
    <x v="11"/>
    <x v="11"/>
    <x v="10"/>
    <x v="286"/>
    <x v="140"/>
    <x v="54"/>
    <x v="548"/>
    <x v="200"/>
    <x v="380"/>
    <x v="4"/>
  </r>
  <r>
    <x v="0"/>
    <x v="46"/>
    <x v="46"/>
    <x v="2"/>
    <x v="2"/>
    <x v="2"/>
    <x v="10"/>
    <x v="286"/>
    <x v="140"/>
    <x v="52"/>
    <x v="51"/>
    <x v="117"/>
    <x v="489"/>
    <x v="4"/>
  </r>
  <r>
    <x v="0"/>
    <x v="46"/>
    <x v="46"/>
    <x v="18"/>
    <x v="18"/>
    <x v="18"/>
    <x v="10"/>
    <x v="286"/>
    <x v="140"/>
    <x v="52"/>
    <x v="51"/>
    <x v="117"/>
    <x v="489"/>
    <x v="4"/>
  </r>
  <r>
    <x v="0"/>
    <x v="46"/>
    <x v="46"/>
    <x v="26"/>
    <x v="26"/>
    <x v="26"/>
    <x v="15"/>
    <x v="287"/>
    <x v="433"/>
    <x v="53"/>
    <x v="376"/>
    <x v="200"/>
    <x v="380"/>
    <x v="4"/>
  </r>
  <r>
    <x v="0"/>
    <x v="46"/>
    <x v="46"/>
    <x v="39"/>
    <x v="39"/>
    <x v="39"/>
    <x v="15"/>
    <x v="287"/>
    <x v="433"/>
    <x v="53"/>
    <x v="376"/>
    <x v="200"/>
    <x v="380"/>
    <x v="4"/>
  </r>
  <r>
    <x v="0"/>
    <x v="46"/>
    <x v="46"/>
    <x v="13"/>
    <x v="13"/>
    <x v="13"/>
    <x v="15"/>
    <x v="287"/>
    <x v="433"/>
    <x v="53"/>
    <x v="376"/>
    <x v="200"/>
    <x v="380"/>
    <x v="4"/>
  </r>
  <r>
    <x v="0"/>
    <x v="46"/>
    <x v="46"/>
    <x v="16"/>
    <x v="16"/>
    <x v="16"/>
    <x v="15"/>
    <x v="287"/>
    <x v="433"/>
    <x v="52"/>
    <x v="51"/>
    <x v="185"/>
    <x v="488"/>
    <x v="4"/>
  </r>
  <r>
    <x v="0"/>
    <x v="46"/>
    <x v="46"/>
    <x v="40"/>
    <x v="40"/>
    <x v="40"/>
    <x v="19"/>
    <x v="288"/>
    <x v="513"/>
    <x v="53"/>
    <x v="376"/>
    <x v="201"/>
    <x v="309"/>
    <x v="4"/>
  </r>
  <r>
    <x v="0"/>
    <x v="46"/>
    <x v="46"/>
    <x v="41"/>
    <x v="41"/>
    <x v="41"/>
    <x v="19"/>
    <x v="288"/>
    <x v="513"/>
    <x v="53"/>
    <x v="376"/>
    <x v="201"/>
    <x v="309"/>
    <x v="4"/>
  </r>
  <r>
    <x v="0"/>
    <x v="46"/>
    <x v="46"/>
    <x v="42"/>
    <x v="42"/>
    <x v="42"/>
    <x v="19"/>
    <x v="288"/>
    <x v="513"/>
    <x v="52"/>
    <x v="51"/>
    <x v="200"/>
    <x v="380"/>
    <x v="4"/>
  </r>
  <r>
    <x v="0"/>
    <x v="46"/>
    <x v="46"/>
    <x v="43"/>
    <x v="43"/>
    <x v="43"/>
    <x v="19"/>
    <x v="288"/>
    <x v="513"/>
    <x v="52"/>
    <x v="51"/>
    <x v="200"/>
    <x v="380"/>
    <x v="4"/>
  </r>
  <r>
    <x v="0"/>
    <x v="46"/>
    <x v="46"/>
    <x v="44"/>
    <x v="44"/>
    <x v="44"/>
    <x v="19"/>
    <x v="288"/>
    <x v="513"/>
    <x v="53"/>
    <x v="376"/>
    <x v="201"/>
    <x v="309"/>
    <x v="4"/>
  </r>
  <r>
    <x v="0"/>
    <x v="46"/>
    <x v="46"/>
    <x v="45"/>
    <x v="45"/>
    <x v="45"/>
    <x v="19"/>
    <x v="288"/>
    <x v="513"/>
    <x v="53"/>
    <x v="376"/>
    <x v="201"/>
    <x v="309"/>
    <x v="4"/>
  </r>
  <r>
    <x v="0"/>
    <x v="46"/>
    <x v="46"/>
    <x v="33"/>
    <x v="33"/>
    <x v="33"/>
    <x v="19"/>
    <x v="288"/>
    <x v="513"/>
    <x v="52"/>
    <x v="51"/>
    <x v="200"/>
    <x v="380"/>
    <x v="4"/>
  </r>
  <r>
    <x v="0"/>
    <x v="46"/>
    <x v="46"/>
    <x v="31"/>
    <x v="31"/>
    <x v="31"/>
    <x v="19"/>
    <x v="288"/>
    <x v="513"/>
    <x v="52"/>
    <x v="51"/>
    <x v="200"/>
    <x v="380"/>
    <x v="4"/>
  </r>
  <r>
    <x v="0"/>
    <x v="46"/>
    <x v="46"/>
    <x v="17"/>
    <x v="17"/>
    <x v="17"/>
    <x v="19"/>
    <x v="288"/>
    <x v="513"/>
    <x v="52"/>
    <x v="51"/>
    <x v="200"/>
    <x v="380"/>
    <x v="4"/>
  </r>
  <r>
    <x v="0"/>
    <x v="46"/>
    <x v="46"/>
    <x v="20"/>
    <x v="20"/>
    <x v="20"/>
    <x v="19"/>
    <x v="288"/>
    <x v="513"/>
    <x v="53"/>
    <x v="376"/>
    <x v="201"/>
    <x v="309"/>
    <x v="4"/>
  </r>
  <r>
    <x v="0"/>
    <x v="46"/>
    <x v="46"/>
    <x v="29"/>
    <x v="29"/>
    <x v="29"/>
    <x v="19"/>
    <x v="288"/>
    <x v="513"/>
    <x v="53"/>
    <x v="376"/>
    <x v="201"/>
    <x v="309"/>
    <x v="4"/>
  </r>
  <r>
    <x v="0"/>
    <x v="46"/>
    <x v="46"/>
    <x v="34"/>
    <x v="34"/>
    <x v="34"/>
    <x v="19"/>
    <x v="288"/>
    <x v="513"/>
    <x v="52"/>
    <x v="51"/>
    <x v="200"/>
    <x v="380"/>
    <x v="4"/>
  </r>
  <r>
    <x v="0"/>
    <x v="46"/>
    <x v="46"/>
    <x v="12"/>
    <x v="12"/>
    <x v="12"/>
    <x v="19"/>
    <x v="288"/>
    <x v="513"/>
    <x v="52"/>
    <x v="51"/>
    <x v="200"/>
    <x v="380"/>
    <x v="4"/>
  </r>
  <r>
    <x v="0"/>
    <x v="46"/>
    <x v="46"/>
    <x v="23"/>
    <x v="23"/>
    <x v="23"/>
    <x v="19"/>
    <x v="288"/>
    <x v="513"/>
    <x v="52"/>
    <x v="51"/>
    <x v="200"/>
    <x v="380"/>
    <x v="4"/>
  </r>
  <r>
    <x v="0"/>
    <x v="46"/>
    <x v="46"/>
    <x v="46"/>
    <x v="46"/>
    <x v="46"/>
    <x v="19"/>
    <x v="288"/>
    <x v="513"/>
    <x v="52"/>
    <x v="51"/>
    <x v="200"/>
    <x v="380"/>
    <x v="4"/>
  </r>
  <r>
    <x v="0"/>
    <x v="46"/>
    <x v="46"/>
    <x v="21"/>
    <x v="21"/>
    <x v="21"/>
    <x v="19"/>
    <x v="288"/>
    <x v="513"/>
    <x v="52"/>
    <x v="51"/>
    <x v="200"/>
    <x v="380"/>
    <x v="4"/>
  </r>
  <r>
    <x v="0"/>
    <x v="47"/>
    <x v="47"/>
    <x v="0"/>
    <x v="0"/>
    <x v="0"/>
    <x v="0"/>
    <x v="92"/>
    <x v="514"/>
    <x v="78"/>
    <x v="549"/>
    <x v="113"/>
    <x v="490"/>
    <x v="4"/>
  </r>
  <r>
    <x v="0"/>
    <x v="47"/>
    <x v="47"/>
    <x v="3"/>
    <x v="3"/>
    <x v="3"/>
    <x v="1"/>
    <x v="81"/>
    <x v="515"/>
    <x v="79"/>
    <x v="550"/>
    <x v="49"/>
    <x v="491"/>
    <x v="4"/>
  </r>
  <r>
    <x v="0"/>
    <x v="47"/>
    <x v="47"/>
    <x v="5"/>
    <x v="5"/>
    <x v="5"/>
    <x v="2"/>
    <x v="95"/>
    <x v="516"/>
    <x v="26"/>
    <x v="551"/>
    <x v="199"/>
    <x v="207"/>
    <x v="4"/>
  </r>
  <r>
    <x v="0"/>
    <x v="47"/>
    <x v="47"/>
    <x v="1"/>
    <x v="1"/>
    <x v="1"/>
    <x v="3"/>
    <x v="115"/>
    <x v="517"/>
    <x v="103"/>
    <x v="552"/>
    <x v="117"/>
    <x v="198"/>
    <x v="4"/>
  </r>
  <r>
    <x v="0"/>
    <x v="47"/>
    <x v="47"/>
    <x v="7"/>
    <x v="7"/>
    <x v="7"/>
    <x v="4"/>
    <x v="84"/>
    <x v="112"/>
    <x v="67"/>
    <x v="553"/>
    <x v="118"/>
    <x v="492"/>
    <x v="4"/>
  </r>
  <r>
    <x v="0"/>
    <x v="47"/>
    <x v="47"/>
    <x v="4"/>
    <x v="4"/>
    <x v="4"/>
    <x v="4"/>
    <x v="84"/>
    <x v="112"/>
    <x v="80"/>
    <x v="554"/>
    <x v="91"/>
    <x v="493"/>
    <x v="4"/>
  </r>
  <r>
    <x v="0"/>
    <x v="47"/>
    <x v="47"/>
    <x v="2"/>
    <x v="2"/>
    <x v="2"/>
    <x v="6"/>
    <x v="105"/>
    <x v="518"/>
    <x v="47"/>
    <x v="149"/>
    <x v="116"/>
    <x v="202"/>
    <x v="4"/>
  </r>
  <r>
    <x v="0"/>
    <x v="47"/>
    <x v="47"/>
    <x v="6"/>
    <x v="6"/>
    <x v="6"/>
    <x v="7"/>
    <x v="119"/>
    <x v="325"/>
    <x v="38"/>
    <x v="78"/>
    <x v="116"/>
    <x v="202"/>
    <x v="4"/>
  </r>
  <r>
    <x v="0"/>
    <x v="47"/>
    <x v="47"/>
    <x v="11"/>
    <x v="11"/>
    <x v="11"/>
    <x v="8"/>
    <x v="108"/>
    <x v="296"/>
    <x v="36"/>
    <x v="505"/>
    <x v="151"/>
    <x v="494"/>
    <x v="4"/>
  </r>
  <r>
    <x v="0"/>
    <x v="47"/>
    <x v="47"/>
    <x v="15"/>
    <x v="15"/>
    <x v="15"/>
    <x v="8"/>
    <x v="108"/>
    <x v="296"/>
    <x v="86"/>
    <x v="519"/>
    <x v="199"/>
    <x v="207"/>
    <x v="4"/>
  </r>
  <r>
    <x v="0"/>
    <x v="47"/>
    <x v="47"/>
    <x v="8"/>
    <x v="8"/>
    <x v="8"/>
    <x v="10"/>
    <x v="241"/>
    <x v="519"/>
    <x v="86"/>
    <x v="519"/>
    <x v="200"/>
    <x v="369"/>
    <x v="4"/>
  </r>
  <r>
    <x v="0"/>
    <x v="47"/>
    <x v="47"/>
    <x v="20"/>
    <x v="20"/>
    <x v="20"/>
    <x v="11"/>
    <x v="242"/>
    <x v="49"/>
    <x v="54"/>
    <x v="463"/>
    <x v="116"/>
    <x v="202"/>
    <x v="4"/>
  </r>
  <r>
    <x v="0"/>
    <x v="47"/>
    <x v="47"/>
    <x v="13"/>
    <x v="13"/>
    <x v="13"/>
    <x v="12"/>
    <x v="243"/>
    <x v="105"/>
    <x v="36"/>
    <x v="505"/>
    <x v="200"/>
    <x v="369"/>
    <x v="4"/>
  </r>
  <r>
    <x v="0"/>
    <x v="47"/>
    <x v="47"/>
    <x v="10"/>
    <x v="10"/>
    <x v="10"/>
    <x v="12"/>
    <x v="243"/>
    <x v="105"/>
    <x v="36"/>
    <x v="505"/>
    <x v="200"/>
    <x v="369"/>
    <x v="4"/>
  </r>
  <r>
    <x v="0"/>
    <x v="47"/>
    <x v="47"/>
    <x v="12"/>
    <x v="12"/>
    <x v="12"/>
    <x v="12"/>
    <x v="243"/>
    <x v="105"/>
    <x v="46"/>
    <x v="139"/>
    <x v="199"/>
    <x v="207"/>
    <x v="4"/>
  </r>
  <r>
    <x v="0"/>
    <x v="47"/>
    <x v="47"/>
    <x v="24"/>
    <x v="24"/>
    <x v="24"/>
    <x v="15"/>
    <x v="245"/>
    <x v="495"/>
    <x v="53"/>
    <x v="339"/>
    <x v="118"/>
    <x v="492"/>
    <x v="4"/>
  </r>
  <r>
    <x v="0"/>
    <x v="47"/>
    <x v="47"/>
    <x v="9"/>
    <x v="9"/>
    <x v="9"/>
    <x v="16"/>
    <x v="246"/>
    <x v="363"/>
    <x v="46"/>
    <x v="139"/>
    <x v="200"/>
    <x v="369"/>
    <x v="4"/>
  </r>
  <r>
    <x v="0"/>
    <x v="47"/>
    <x v="47"/>
    <x v="22"/>
    <x v="22"/>
    <x v="22"/>
    <x v="17"/>
    <x v="284"/>
    <x v="466"/>
    <x v="53"/>
    <x v="339"/>
    <x v="199"/>
    <x v="207"/>
    <x v="4"/>
  </r>
  <r>
    <x v="0"/>
    <x v="47"/>
    <x v="47"/>
    <x v="14"/>
    <x v="14"/>
    <x v="14"/>
    <x v="17"/>
    <x v="284"/>
    <x v="466"/>
    <x v="52"/>
    <x v="51"/>
    <x v="113"/>
    <x v="490"/>
    <x v="4"/>
  </r>
  <r>
    <x v="0"/>
    <x v="47"/>
    <x v="47"/>
    <x v="32"/>
    <x v="32"/>
    <x v="32"/>
    <x v="19"/>
    <x v="285"/>
    <x v="520"/>
    <x v="44"/>
    <x v="508"/>
    <x v="201"/>
    <x v="309"/>
    <x v="4"/>
  </r>
  <r>
    <x v="0"/>
    <x v="47"/>
    <x v="47"/>
    <x v="47"/>
    <x v="47"/>
    <x v="47"/>
    <x v="19"/>
    <x v="285"/>
    <x v="520"/>
    <x v="52"/>
    <x v="51"/>
    <x v="199"/>
    <x v="207"/>
    <x v="4"/>
  </r>
  <r>
    <x v="0"/>
    <x v="47"/>
    <x v="47"/>
    <x v="29"/>
    <x v="29"/>
    <x v="29"/>
    <x v="19"/>
    <x v="285"/>
    <x v="520"/>
    <x v="52"/>
    <x v="51"/>
    <x v="199"/>
    <x v="207"/>
    <x v="4"/>
  </r>
  <r>
    <x v="0"/>
    <x v="48"/>
    <x v="48"/>
    <x v="0"/>
    <x v="0"/>
    <x v="0"/>
    <x v="0"/>
    <x v="81"/>
    <x v="521"/>
    <x v="97"/>
    <x v="555"/>
    <x v="113"/>
    <x v="495"/>
    <x v="4"/>
  </r>
  <r>
    <x v="0"/>
    <x v="48"/>
    <x v="48"/>
    <x v="5"/>
    <x v="5"/>
    <x v="5"/>
    <x v="1"/>
    <x v="84"/>
    <x v="522"/>
    <x v="18"/>
    <x v="556"/>
    <x v="116"/>
    <x v="496"/>
    <x v="4"/>
  </r>
  <r>
    <x v="0"/>
    <x v="48"/>
    <x v="48"/>
    <x v="4"/>
    <x v="4"/>
    <x v="4"/>
    <x v="2"/>
    <x v="116"/>
    <x v="523"/>
    <x v="55"/>
    <x v="21"/>
    <x v="116"/>
    <x v="496"/>
    <x v="4"/>
  </r>
  <r>
    <x v="0"/>
    <x v="48"/>
    <x v="48"/>
    <x v="48"/>
    <x v="48"/>
    <x v="48"/>
    <x v="3"/>
    <x v="117"/>
    <x v="524"/>
    <x v="129"/>
    <x v="557"/>
    <x v="185"/>
    <x v="329"/>
    <x v="4"/>
  </r>
  <r>
    <x v="0"/>
    <x v="48"/>
    <x v="48"/>
    <x v="3"/>
    <x v="3"/>
    <x v="3"/>
    <x v="4"/>
    <x v="102"/>
    <x v="525"/>
    <x v="66"/>
    <x v="558"/>
    <x v="66"/>
    <x v="497"/>
    <x v="4"/>
  </r>
  <r>
    <x v="0"/>
    <x v="48"/>
    <x v="48"/>
    <x v="1"/>
    <x v="1"/>
    <x v="1"/>
    <x v="4"/>
    <x v="102"/>
    <x v="525"/>
    <x v="45"/>
    <x v="559"/>
    <x v="185"/>
    <x v="329"/>
    <x v="4"/>
  </r>
  <r>
    <x v="0"/>
    <x v="48"/>
    <x v="48"/>
    <x v="7"/>
    <x v="7"/>
    <x v="7"/>
    <x v="6"/>
    <x v="267"/>
    <x v="526"/>
    <x v="79"/>
    <x v="260"/>
    <x v="199"/>
    <x v="498"/>
    <x v="4"/>
  </r>
  <r>
    <x v="0"/>
    <x v="48"/>
    <x v="48"/>
    <x v="6"/>
    <x v="6"/>
    <x v="6"/>
    <x v="7"/>
    <x v="281"/>
    <x v="527"/>
    <x v="58"/>
    <x v="374"/>
    <x v="118"/>
    <x v="499"/>
    <x v="4"/>
  </r>
  <r>
    <x v="0"/>
    <x v="48"/>
    <x v="48"/>
    <x v="8"/>
    <x v="8"/>
    <x v="8"/>
    <x v="8"/>
    <x v="279"/>
    <x v="239"/>
    <x v="61"/>
    <x v="560"/>
    <x v="201"/>
    <x v="309"/>
    <x v="4"/>
  </r>
  <r>
    <x v="0"/>
    <x v="48"/>
    <x v="48"/>
    <x v="15"/>
    <x v="15"/>
    <x v="15"/>
    <x v="8"/>
    <x v="279"/>
    <x v="239"/>
    <x v="61"/>
    <x v="560"/>
    <x v="200"/>
    <x v="500"/>
    <x v="4"/>
  </r>
  <r>
    <x v="0"/>
    <x v="48"/>
    <x v="48"/>
    <x v="13"/>
    <x v="13"/>
    <x v="13"/>
    <x v="10"/>
    <x v="243"/>
    <x v="528"/>
    <x v="58"/>
    <x v="374"/>
    <x v="185"/>
    <x v="329"/>
    <x v="4"/>
  </r>
  <r>
    <x v="0"/>
    <x v="48"/>
    <x v="48"/>
    <x v="11"/>
    <x v="11"/>
    <x v="11"/>
    <x v="10"/>
    <x v="243"/>
    <x v="528"/>
    <x v="34"/>
    <x v="239"/>
    <x v="117"/>
    <x v="501"/>
    <x v="4"/>
  </r>
  <r>
    <x v="0"/>
    <x v="48"/>
    <x v="48"/>
    <x v="9"/>
    <x v="9"/>
    <x v="9"/>
    <x v="10"/>
    <x v="243"/>
    <x v="528"/>
    <x v="34"/>
    <x v="239"/>
    <x v="185"/>
    <x v="329"/>
    <x v="4"/>
  </r>
  <r>
    <x v="0"/>
    <x v="48"/>
    <x v="48"/>
    <x v="18"/>
    <x v="18"/>
    <x v="18"/>
    <x v="13"/>
    <x v="284"/>
    <x v="52"/>
    <x v="52"/>
    <x v="51"/>
    <x v="199"/>
    <x v="498"/>
    <x v="4"/>
  </r>
  <r>
    <x v="0"/>
    <x v="48"/>
    <x v="48"/>
    <x v="22"/>
    <x v="22"/>
    <x v="22"/>
    <x v="14"/>
    <x v="285"/>
    <x v="345"/>
    <x v="53"/>
    <x v="454"/>
    <x v="117"/>
    <x v="501"/>
    <x v="4"/>
  </r>
  <r>
    <x v="0"/>
    <x v="48"/>
    <x v="48"/>
    <x v="49"/>
    <x v="49"/>
    <x v="49"/>
    <x v="15"/>
    <x v="286"/>
    <x v="520"/>
    <x v="53"/>
    <x v="454"/>
    <x v="185"/>
    <x v="329"/>
    <x v="4"/>
  </r>
  <r>
    <x v="0"/>
    <x v="48"/>
    <x v="48"/>
    <x v="20"/>
    <x v="20"/>
    <x v="20"/>
    <x v="15"/>
    <x v="286"/>
    <x v="520"/>
    <x v="54"/>
    <x v="226"/>
    <x v="200"/>
    <x v="500"/>
    <x v="4"/>
  </r>
  <r>
    <x v="0"/>
    <x v="48"/>
    <x v="48"/>
    <x v="12"/>
    <x v="12"/>
    <x v="12"/>
    <x v="15"/>
    <x v="286"/>
    <x v="520"/>
    <x v="52"/>
    <x v="51"/>
    <x v="117"/>
    <x v="501"/>
    <x v="4"/>
  </r>
  <r>
    <x v="0"/>
    <x v="48"/>
    <x v="48"/>
    <x v="23"/>
    <x v="23"/>
    <x v="23"/>
    <x v="15"/>
    <x v="286"/>
    <x v="520"/>
    <x v="53"/>
    <x v="454"/>
    <x v="200"/>
    <x v="500"/>
    <x v="4"/>
  </r>
  <r>
    <x v="0"/>
    <x v="48"/>
    <x v="48"/>
    <x v="50"/>
    <x v="50"/>
    <x v="50"/>
    <x v="19"/>
    <x v="287"/>
    <x v="529"/>
    <x v="54"/>
    <x v="226"/>
    <x v="201"/>
    <x v="309"/>
    <x v="4"/>
  </r>
  <r>
    <x v="0"/>
    <x v="48"/>
    <x v="48"/>
    <x v="35"/>
    <x v="35"/>
    <x v="35"/>
    <x v="19"/>
    <x v="287"/>
    <x v="529"/>
    <x v="53"/>
    <x v="454"/>
    <x v="200"/>
    <x v="500"/>
    <x v="4"/>
  </r>
  <r>
    <x v="0"/>
    <x v="48"/>
    <x v="48"/>
    <x v="47"/>
    <x v="47"/>
    <x v="47"/>
    <x v="19"/>
    <x v="287"/>
    <x v="529"/>
    <x v="52"/>
    <x v="51"/>
    <x v="185"/>
    <x v="329"/>
    <x v="4"/>
  </r>
  <r>
    <x v="0"/>
    <x v="48"/>
    <x v="48"/>
    <x v="24"/>
    <x v="24"/>
    <x v="24"/>
    <x v="19"/>
    <x v="287"/>
    <x v="529"/>
    <x v="52"/>
    <x v="51"/>
    <x v="185"/>
    <x v="329"/>
    <x v="4"/>
  </r>
  <r>
    <x v="0"/>
    <x v="48"/>
    <x v="48"/>
    <x v="2"/>
    <x v="2"/>
    <x v="2"/>
    <x v="19"/>
    <x v="287"/>
    <x v="529"/>
    <x v="54"/>
    <x v="226"/>
    <x v="201"/>
    <x v="309"/>
    <x v="4"/>
  </r>
  <r>
    <x v="0"/>
    <x v="48"/>
    <x v="48"/>
    <x v="28"/>
    <x v="28"/>
    <x v="28"/>
    <x v="19"/>
    <x v="287"/>
    <x v="529"/>
    <x v="54"/>
    <x v="226"/>
    <x v="201"/>
    <x v="309"/>
    <x v="4"/>
  </r>
  <r>
    <x v="0"/>
    <x v="49"/>
    <x v="49"/>
    <x v="0"/>
    <x v="0"/>
    <x v="0"/>
    <x v="0"/>
    <x v="91"/>
    <x v="530"/>
    <x v="121"/>
    <x v="561"/>
    <x v="118"/>
    <x v="128"/>
    <x v="4"/>
  </r>
  <r>
    <x v="0"/>
    <x v="49"/>
    <x v="49"/>
    <x v="1"/>
    <x v="1"/>
    <x v="1"/>
    <x v="1"/>
    <x v="129"/>
    <x v="531"/>
    <x v="125"/>
    <x v="562"/>
    <x v="91"/>
    <x v="502"/>
    <x v="4"/>
  </r>
  <r>
    <x v="0"/>
    <x v="49"/>
    <x v="49"/>
    <x v="3"/>
    <x v="3"/>
    <x v="3"/>
    <x v="2"/>
    <x v="113"/>
    <x v="532"/>
    <x v="37"/>
    <x v="217"/>
    <x v="63"/>
    <x v="503"/>
    <x v="4"/>
  </r>
  <r>
    <x v="0"/>
    <x v="49"/>
    <x v="49"/>
    <x v="26"/>
    <x v="26"/>
    <x v="26"/>
    <x v="3"/>
    <x v="84"/>
    <x v="379"/>
    <x v="59"/>
    <x v="563"/>
    <x v="106"/>
    <x v="504"/>
    <x v="4"/>
  </r>
  <r>
    <x v="0"/>
    <x v="49"/>
    <x v="49"/>
    <x v="4"/>
    <x v="4"/>
    <x v="4"/>
    <x v="4"/>
    <x v="102"/>
    <x v="533"/>
    <x v="81"/>
    <x v="564"/>
    <x v="102"/>
    <x v="505"/>
    <x v="4"/>
  </r>
  <r>
    <x v="0"/>
    <x v="49"/>
    <x v="49"/>
    <x v="5"/>
    <x v="5"/>
    <x v="5"/>
    <x v="5"/>
    <x v="118"/>
    <x v="292"/>
    <x v="47"/>
    <x v="565"/>
    <x v="151"/>
    <x v="326"/>
    <x v="4"/>
  </r>
  <r>
    <x v="0"/>
    <x v="49"/>
    <x v="49"/>
    <x v="6"/>
    <x v="6"/>
    <x v="6"/>
    <x v="5"/>
    <x v="118"/>
    <x v="292"/>
    <x v="36"/>
    <x v="566"/>
    <x v="102"/>
    <x v="505"/>
    <x v="4"/>
  </r>
  <r>
    <x v="0"/>
    <x v="49"/>
    <x v="49"/>
    <x v="7"/>
    <x v="7"/>
    <x v="7"/>
    <x v="5"/>
    <x v="118"/>
    <x v="292"/>
    <x v="80"/>
    <x v="567"/>
    <x v="117"/>
    <x v="506"/>
    <x v="4"/>
  </r>
  <r>
    <x v="0"/>
    <x v="49"/>
    <x v="49"/>
    <x v="15"/>
    <x v="15"/>
    <x v="15"/>
    <x v="8"/>
    <x v="108"/>
    <x v="500"/>
    <x v="38"/>
    <x v="10"/>
    <x v="118"/>
    <x v="128"/>
    <x v="4"/>
  </r>
  <r>
    <x v="0"/>
    <x v="49"/>
    <x v="49"/>
    <x v="8"/>
    <x v="8"/>
    <x v="8"/>
    <x v="9"/>
    <x v="241"/>
    <x v="437"/>
    <x v="81"/>
    <x v="564"/>
    <x v="201"/>
    <x v="309"/>
    <x v="4"/>
  </r>
  <r>
    <x v="0"/>
    <x v="49"/>
    <x v="49"/>
    <x v="11"/>
    <x v="11"/>
    <x v="11"/>
    <x v="10"/>
    <x v="242"/>
    <x v="141"/>
    <x v="58"/>
    <x v="363"/>
    <x v="117"/>
    <x v="506"/>
    <x v="4"/>
  </r>
  <r>
    <x v="0"/>
    <x v="49"/>
    <x v="49"/>
    <x v="2"/>
    <x v="2"/>
    <x v="2"/>
    <x v="11"/>
    <x v="243"/>
    <x v="402"/>
    <x v="53"/>
    <x v="568"/>
    <x v="116"/>
    <x v="507"/>
    <x v="4"/>
  </r>
  <r>
    <x v="0"/>
    <x v="49"/>
    <x v="49"/>
    <x v="27"/>
    <x v="27"/>
    <x v="27"/>
    <x v="11"/>
    <x v="243"/>
    <x v="402"/>
    <x v="44"/>
    <x v="515"/>
    <x v="113"/>
    <x v="330"/>
    <x v="4"/>
  </r>
  <r>
    <x v="0"/>
    <x v="49"/>
    <x v="49"/>
    <x v="13"/>
    <x v="13"/>
    <x v="13"/>
    <x v="13"/>
    <x v="244"/>
    <x v="232"/>
    <x v="46"/>
    <x v="569"/>
    <x v="117"/>
    <x v="506"/>
    <x v="4"/>
  </r>
  <r>
    <x v="0"/>
    <x v="49"/>
    <x v="49"/>
    <x v="12"/>
    <x v="12"/>
    <x v="12"/>
    <x v="14"/>
    <x v="245"/>
    <x v="143"/>
    <x v="54"/>
    <x v="279"/>
    <x v="113"/>
    <x v="330"/>
    <x v="4"/>
  </r>
  <r>
    <x v="0"/>
    <x v="49"/>
    <x v="49"/>
    <x v="33"/>
    <x v="33"/>
    <x v="33"/>
    <x v="15"/>
    <x v="246"/>
    <x v="193"/>
    <x v="53"/>
    <x v="568"/>
    <x v="113"/>
    <x v="330"/>
    <x v="4"/>
  </r>
  <r>
    <x v="0"/>
    <x v="49"/>
    <x v="49"/>
    <x v="22"/>
    <x v="22"/>
    <x v="22"/>
    <x v="16"/>
    <x v="284"/>
    <x v="534"/>
    <x v="54"/>
    <x v="279"/>
    <x v="117"/>
    <x v="506"/>
    <x v="4"/>
  </r>
  <r>
    <x v="0"/>
    <x v="49"/>
    <x v="49"/>
    <x v="17"/>
    <x v="17"/>
    <x v="17"/>
    <x v="16"/>
    <x v="284"/>
    <x v="534"/>
    <x v="35"/>
    <x v="250"/>
    <x v="185"/>
    <x v="421"/>
    <x v="4"/>
  </r>
  <r>
    <x v="0"/>
    <x v="49"/>
    <x v="49"/>
    <x v="9"/>
    <x v="9"/>
    <x v="9"/>
    <x v="16"/>
    <x v="284"/>
    <x v="534"/>
    <x v="44"/>
    <x v="515"/>
    <x v="201"/>
    <x v="309"/>
    <x v="4"/>
  </r>
  <r>
    <x v="0"/>
    <x v="49"/>
    <x v="49"/>
    <x v="18"/>
    <x v="18"/>
    <x v="18"/>
    <x v="16"/>
    <x v="284"/>
    <x v="534"/>
    <x v="52"/>
    <x v="51"/>
    <x v="117"/>
    <x v="506"/>
    <x v="4"/>
  </r>
  <r>
    <x v="0"/>
    <x v="50"/>
    <x v="50"/>
    <x v="3"/>
    <x v="3"/>
    <x v="3"/>
    <x v="0"/>
    <x v="106"/>
    <x v="535"/>
    <x v="36"/>
    <x v="570"/>
    <x v="106"/>
    <x v="508"/>
    <x v="4"/>
  </r>
  <r>
    <x v="0"/>
    <x v="50"/>
    <x v="50"/>
    <x v="4"/>
    <x v="4"/>
    <x v="4"/>
    <x v="1"/>
    <x v="109"/>
    <x v="282"/>
    <x v="35"/>
    <x v="540"/>
    <x v="150"/>
    <x v="177"/>
    <x v="4"/>
  </r>
  <r>
    <x v="0"/>
    <x v="50"/>
    <x v="50"/>
    <x v="1"/>
    <x v="1"/>
    <x v="1"/>
    <x v="1"/>
    <x v="109"/>
    <x v="282"/>
    <x v="61"/>
    <x v="571"/>
    <x v="199"/>
    <x v="509"/>
    <x v="4"/>
  </r>
  <r>
    <x v="0"/>
    <x v="50"/>
    <x v="50"/>
    <x v="0"/>
    <x v="0"/>
    <x v="0"/>
    <x v="1"/>
    <x v="109"/>
    <x v="282"/>
    <x v="37"/>
    <x v="572"/>
    <x v="200"/>
    <x v="510"/>
    <x v="4"/>
  </r>
  <r>
    <x v="0"/>
    <x v="50"/>
    <x v="50"/>
    <x v="30"/>
    <x v="30"/>
    <x v="30"/>
    <x v="4"/>
    <x v="242"/>
    <x v="536"/>
    <x v="52"/>
    <x v="51"/>
    <x v="91"/>
    <x v="203"/>
    <x v="4"/>
  </r>
  <r>
    <x v="0"/>
    <x v="50"/>
    <x v="50"/>
    <x v="15"/>
    <x v="15"/>
    <x v="15"/>
    <x v="4"/>
    <x v="242"/>
    <x v="536"/>
    <x v="46"/>
    <x v="536"/>
    <x v="113"/>
    <x v="52"/>
    <x v="4"/>
  </r>
  <r>
    <x v="0"/>
    <x v="50"/>
    <x v="50"/>
    <x v="5"/>
    <x v="5"/>
    <x v="5"/>
    <x v="6"/>
    <x v="243"/>
    <x v="537"/>
    <x v="35"/>
    <x v="540"/>
    <x v="118"/>
    <x v="281"/>
    <x v="4"/>
  </r>
  <r>
    <x v="0"/>
    <x v="50"/>
    <x v="50"/>
    <x v="22"/>
    <x v="22"/>
    <x v="22"/>
    <x v="6"/>
    <x v="243"/>
    <x v="537"/>
    <x v="53"/>
    <x v="193"/>
    <x v="116"/>
    <x v="511"/>
    <x v="4"/>
  </r>
  <r>
    <x v="0"/>
    <x v="50"/>
    <x v="50"/>
    <x v="7"/>
    <x v="7"/>
    <x v="7"/>
    <x v="6"/>
    <x v="243"/>
    <x v="537"/>
    <x v="34"/>
    <x v="573"/>
    <x v="117"/>
    <x v="64"/>
    <x v="4"/>
  </r>
  <r>
    <x v="0"/>
    <x v="50"/>
    <x v="50"/>
    <x v="37"/>
    <x v="37"/>
    <x v="37"/>
    <x v="9"/>
    <x v="244"/>
    <x v="431"/>
    <x v="52"/>
    <x v="51"/>
    <x v="116"/>
    <x v="511"/>
    <x v="4"/>
  </r>
  <r>
    <x v="0"/>
    <x v="50"/>
    <x v="50"/>
    <x v="2"/>
    <x v="2"/>
    <x v="2"/>
    <x v="9"/>
    <x v="244"/>
    <x v="431"/>
    <x v="52"/>
    <x v="51"/>
    <x v="116"/>
    <x v="511"/>
    <x v="4"/>
  </r>
  <r>
    <x v="0"/>
    <x v="50"/>
    <x v="50"/>
    <x v="17"/>
    <x v="17"/>
    <x v="17"/>
    <x v="11"/>
    <x v="246"/>
    <x v="538"/>
    <x v="52"/>
    <x v="51"/>
    <x v="118"/>
    <x v="281"/>
    <x v="4"/>
  </r>
  <r>
    <x v="0"/>
    <x v="50"/>
    <x v="50"/>
    <x v="6"/>
    <x v="6"/>
    <x v="6"/>
    <x v="12"/>
    <x v="285"/>
    <x v="34"/>
    <x v="54"/>
    <x v="539"/>
    <x v="185"/>
    <x v="172"/>
    <x v="4"/>
  </r>
  <r>
    <x v="0"/>
    <x v="50"/>
    <x v="50"/>
    <x v="40"/>
    <x v="40"/>
    <x v="40"/>
    <x v="12"/>
    <x v="285"/>
    <x v="34"/>
    <x v="54"/>
    <x v="539"/>
    <x v="185"/>
    <x v="172"/>
    <x v="4"/>
  </r>
  <r>
    <x v="0"/>
    <x v="50"/>
    <x v="50"/>
    <x v="31"/>
    <x v="31"/>
    <x v="31"/>
    <x v="12"/>
    <x v="285"/>
    <x v="34"/>
    <x v="52"/>
    <x v="51"/>
    <x v="199"/>
    <x v="509"/>
    <x v="4"/>
  </r>
  <r>
    <x v="0"/>
    <x v="50"/>
    <x v="50"/>
    <x v="9"/>
    <x v="9"/>
    <x v="9"/>
    <x v="12"/>
    <x v="285"/>
    <x v="34"/>
    <x v="35"/>
    <x v="540"/>
    <x v="201"/>
    <x v="309"/>
    <x v="4"/>
  </r>
  <r>
    <x v="0"/>
    <x v="50"/>
    <x v="50"/>
    <x v="8"/>
    <x v="8"/>
    <x v="8"/>
    <x v="12"/>
    <x v="285"/>
    <x v="34"/>
    <x v="35"/>
    <x v="540"/>
    <x v="200"/>
    <x v="510"/>
    <x v="4"/>
  </r>
  <r>
    <x v="0"/>
    <x v="50"/>
    <x v="50"/>
    <x v="21"/>
    <x v="21"/>
    <x v="21"/>
    <x v="12"/>
    <x v="285"/>
    <x v="34"/>
    <x v="52"/>
    <x v="51"/>
    <x v="199"/>
    <x v="509"/>
    <x v="4"/>
  </r>
  <r>
    <x v="0"/>
    <x v="50"/>
    <x v="50"/>
    <x v="43"/>
    <x v="43"/>
    <x v="43"/>
    <x v="18"/>
    <x v="286"/>
    <x v="161"/>
    <x v="53"/>
    <x v="193"/>
    <x v="185"/>
    <x v="172"/>
    <x v="4"/>
  </r>
  <r>
    <x v="0"/>
    <x v="50"/>
    <x v="50"/>
    <x v="24"/>
    <x v="24"/>
    <x v="24"/>
    <x v="18"/>
    <x v="286"/>
    <x v="161"/>
    <x v="52"/>
    <x v="51"/>
    <x v="117"/>
    <x v="64"/>
    <x v="4"/>
  </r>
  <r>
    <x v="0"/>
    <x v="50"/>
    <x v="50"/>
    <x v="36"/>
    <x v="36"/>
    <x v="36"/>
    <x v="18"/>
    <x v="286"/>
    <x v="161"/>
    <x v="52"/>
    <x v="51"/>
    <x v="117"/>
    <x v="64"/>
    <x v="4"/>
  </r>
  <r>
    <x v="0"/>
    <x v="50"/>
    <x v="50"/>
    <x v="12"/>
    <x v="12"/>
    <x v="12"/>
    <x v="18"/>
    <x v="286"/>
    <x v="161"/>
    <x v="53"/>
    <x v="193"/>
    <x v="185"/>
    <x v="172"/>
    <x v="4"/>
  </r>
  <r>
    <x v="0"/>
    <x v="51"/>
    <x v="51"/>
    <x v="0"/>
    <x v="0"/>
    <x v="0"/>
    <x v="0"/>
    <x v="78"/>
    <x v="539"/>
    <x v="193"/>
    <x v="574"/>
    <x v="117"/>
    <x v="450"/>
    <x v="4"/>
  </r>
  <r>
    <x v="0"/>
    <x v="51"/>
    <x v="51"/>
    <x v="5"/>
    <x v="5"/>
    <x v="5"/>
    <x v="1"/>
    <x v="65"/>
    <x v="540"/>
    <x v="95"/>
    <x v="54"/>
    <x v="94"/>
    <x v="512"/>
    <x v="4"/>
  </r>
  <r>
    <x v="0"/>
    <x v="51"/>
    <x v="51"/>
    <x v="3"/>
    <x v="3"/>
    <x v="3"/>
    <x v="2"/>
    <x v="129"/>
    <x v="541"/>
    <x v="47"/>
    <x v="575"/>
    <x v="70"/>
    <x v="513"/>
    <x v="4"/>
  </r>
  <r>
    <x v="0"/>
    <x v="51"/>
    <x v="51"/>
    <x v="1"/>
    <x v="1"/>
    <x v="1"/>
    <x v="3"/>
    <x v="100"/>
    <x v="542"/>
    <x v="97"/>
    <x v="576"/>
    <x v="113"/>
    <x v="36"/>
    <x v="1"/>
  </r>
  <r>
    <x v="0"/>
    <x v="51"/>
    <x v="51"/>
    <x v="4"/>
    <x v="4"/>
    <x v="4"/>
    <x v="4"/>
    <x v="83"/>
    <x v="543"/>
    <x v="66"/>
    <x v="577"/>
    <x v="94"/>
    <x v="512"/>
    <x v="4"/>
  </r>
  <r>
    <x v="0"/>
    <x v="51"/>
    <x v="51"/>
    <x v="6"/>
    <x v="6"/>
    <x v="6"/>
    <x v="5"/>
    <x v="104"/>
    <x v="101"/>
    <x v="37"/>
    <x v="578"/>
    <x v="66"/>
    <x v="514"/>
    <x v="4"/>
  </r>
  <r>
    <x v="0"/>
    <x v="51"/>
    <x v="51"/>
    <x v="7"/>
    <x v="7"/>
    <x v="7"/>
    <x v="6"/>
    <x v="118"/>
    <x v="544"/>
    <x v="81"/>
    <x v="579"/>
    <x v="150"/>
    <x v="515"/>
    <x v="4"/>
  </r>
  <r>
    <x v="0"/>
    <x v="51"/>
    <x v="51"/>
    <x v="11"/>
    <x v="11"/>
    <x v="11"/>
    <x v="7"/>
    <x v="106"/>
    <x v="545"/>
    <x v="81"/>
    <x v="579"/>
    <x v="105"/>
    <x v="40"/>
    <x v="4"/>
  </r>
  <r>
    <x v="0"/>
    <x v="51"/>
    <x v="51"/>
    <x v="2"/>
    <x v="2"/>
    <x v="2"/>
    <x v="7"/>
    <x v="106"/>
    <x v="545"/>
    <x v="37"/>
    <x v="578"/>
    <x v="116"/>
    <x v="324"/>
    <x v="4"/>
  </r>
  <r>
    <x v="0"/>
    <x v="51"/>
    <x v="51"/>
    <x v="15"/>
    <x v="15"/>
    <x v="15"/>
    <x v="9"/>
    <x v="108"/>
    <x v="251"/>
    <x v="81"/>
    <x v="579"/>
    <x v="117"/>
    <x v="450"/>
    <x v="4"/>
  </r>
  <r>
    <x v="0"/>
    <x v="51"/>
    <x v="51"/>
    <x v="10"/>
    <x v="10"/>
    <x v="10"/>
    <x v="10"/>
    <x v="242"/>
    <x v="159"/>
    <x v="38"/>
    <x v="93"/>
    <x v="200"/>
    <x v="469"/>
    <x v="4"/>
  </r>
  <r>
    <x v="0"/>
    <x v="51"/>
    <x v="51"/>
    <x v="9"/>
    <x v="9"/>
    <x v="9"/>
    <x v="10"/>
    <x v="242"/>
    <x v="159"/>
    <x v="36"/>
    <x v="239"/>
    <x v="185"/>
    <x v="260"/>
    <x v="4"/>
  </r>
  <r>
    <x v="0"/>
    <x v="51"/>
    <x v="51"/>
    <x v="8"/>
    <x v="8"/>
    <x v="8"/>
    <x v="10"/>
    <x v="242"/>
    <x v="159"/>
    <x v="61"/>
    <x v="288"/>
    <x v="201"/>
    <x v="309"/>
    <x v="4"/>
  </r>
  <r>
    <x v="0"/>
    <x v="51"/>
    <x v="51"/>
    <x v="22"/>
    <x v="22"/>
    <x v="22"/>
    <x v="13"/>
    <x v="243"/>
    <x v="253"/>
    <x v="46"/>
    <x v="515"/>
    <x v="199"/>
    <x v="164"/>
    <x v="4"/>
  </r>
  <r>
    <x v="0"/>
    <x v="51"/>
    <x v="51"/>
    <x v="20"/>
    <x v="20"/>
    <x v="20"/>
    <x v="13"/>
    <x v="243"/>
    <x v="253"/>
    <x v="54"/>
    <x v="580"/>
    <x v="151"/>
    <x v="393"/>
    <x v="4"/>
  </r>
  <r>
    <x v="0"/>
    <x v="51"/>
    <x v="51"/>
    <x v="13"/>
    <x v="13"/>
    <x v="13"/>
    <x v="13"/>
    <x v="243"/>
    <x v="253"/>
    <x v="44"/>
    <x v="581"/>
    <x v="113"/>
    <x v="36"/>
    <x v="4"/>
  </r>
  <r>
    <x v="0"/>
    <x v="51"/>
    <x v="51"/>
    <x v="14"/>
    <x v="14"/>
    <x v="14"/>
    <x v="16"/>
    <x v="244"/>
    <x v="53"/>
    <x v="53"/>
    <x v="185"/>
    <x v="151"/>
    <x v="393"/>
    <x v="4"/>
  </r>
  <r>
    <x v="0"/>
    <x v="51"/>
    <x v="51"/>
    <x v="27"/>
    <x v="27"/>
    <x v="27"/>
    <x v="16"/>
    <x v="244"/>
    <x v="53"/>
    <x v="46"/>
    <x v="515"/>
    <x v="117"/>
    <x v="450"/>
    <x v="4"/>
  </r>
  <r>
    <x v="0"/>
    <x v="51"/>
    <x v="51"/>
    <x v="29"/>
    <x v="29"/>
    <x v="29"/>
    <x v="18"/>
    <x v="245"/>
    <x v="179"/>
    <x v="35"/>
    <x v="525"/>
    <x v="199"/>
    <x v="164"/>
    <x v="4"/>
  </r>
  <r>
    <x v="0"/>
    <x v="51"/>
    <x v="51"/>
    <x v="31"/>
    <x v="31"/>
    <x v="31"/>
    <x v="19"/>
    <x v="246"/>
    <x v="145"/>
    <x v="52"/>
    <x v="51"/>
    <x v="118"/>
    <x v="516"/>
    <x v="4"/>
  </r>
  <r>
    <x v="0"/>
    <x v="51"/>
    <x v="51"/>
    <x v="24"/>
    <x v="24"/>
    <x v="24"/>
    <x v="19"/>
    <x v="246"/>
    <x v="145"/>
    <x v="35"/>
    <x v="525"/>
    <x v="117"/>
    <x v="450"/>
    <x v="4"/>
  </r>
  <r>
    <x v="0"/>
    <x v="51"/>
    <x v="51"/>
    <x v="36"/>
    <x v="36"/>
    <x v="36"/>
    <x v="19"/>
    <x v="246"/>
    <x v="145"/>
    <x v="35"/>
    <x v="525"/>
    <x v="117"/>
    <x v="450"/>
    <x v="4"/>
  </r>
  <r>
    <x v="0"/>
    <x v="51"/>
    <x v="51"/>
    <x v="16"/>
    <x v="16"/>
    <x v="16"/>
    <x v="19"/>
    <x v="246"/>
    <x v="145"/>
    <x v="46"/>
    <x v="515"/>
    <x v="200"/>
    <x v="469"/>
    <x v="4"/>
  </r>
  <r>
    <x v="0"/>
    <x v="51"/>
    <x v="51"/>
    <x v="21"/>
    <x v="21"/>
    <x v="21"/>
    <x v="19"/>
    <x v="246"/>
    <x v="145"/>
    <x v="53"/>
    <x v="185"/>
    <x v="113"/>
    <x v="36"/>
    <x v="4"/>
  </r>
  <r>
    <x v="0"/>
    <x v="52"/>
    <x v="52"/>
    <x v="1"/>
    <x v="1"/>
    <x v="1"/>
    <x v="0"/>
    <x v="128"/>
    <x v="95"/>
    <x v="160"/>
    <x v="582"/>
    <x v="151"/>
    <x v="517"/>
    <x v="4"/>
  </r>
  <r>
    <x v="0"/>
    <x v="52"/>
    <x v="52"/>
    <x v="0"/>
    <x v="0"/>
    <x v="0"/>
    <x v="1"/>
    <x v="112"/>
    <x v="546"/>
    <x v="78"/>
    <x v="583"/>
    <x v="200"/>
    <x v="518"/>
    <x v="4"/>
  </r>
  <r>
    <x v="0"/>
    <x v="52"/>
    <x v="52"/>
    <x v="4"/>
    <x v="4"/>
    <x v="4"/>
    <x v="2"/>
    <x v="83"/>
    <x v="547"/>
    <x v="80"/>
    <x v="584"/>
    <x v="77"/>
    <x v="519"/>
    <x v="4"/>
  </r>
  <r>
    <x v="0"/>
    <x v="52"/>
    <x v="52"/>
    <x v="7"/>
    <x v="7"/>
    <x v="7"/>
    <x v="3"/>
    <x v="106"/>
    <x v="183"/>
    <x v="37"/>
    <x v="585"/>
    <x v="116"/>
    <x v="271"/>
    <x v="4"/>
  </r>
  <r>
    <x v="0"/>
    <x v="52"/>
    <x v="52"/>
    <x v="3"/>
    <x v="3"/>
    <x v="3"/>
    <x v="4"/>
    <x v="119"/>
    <x v="200"/>
    <x v="54"/>
    <x v="56"/>
    <x v="102"/>
    <x v="520"/>
    <x v="4"/>
  </r>
  <r>
    <x v="0"/>
    <x v="52"/>
    <x v="52"/>
    <x v="8"/>
    <x v="8"/>
    <x v="8"/>
    <x v="4"/>
    <x v="119"/>
    <x v="200"/>
    <x v="86"/>
    <x v="219"/>
    <x v="118"/>
    <x v="521"/>
    <x v="4"/>
  </r>
  <r>
    <x v="0"/>
    <x v="52"/>
    <x v="52"/>
    <x v="5"/>
    <x v="5"/>
    <x v="5"/>
    <x v="6"/>
    <x v="108"/>
    <x v="548"/>
    <x v="58"/>
    <x v="375"/>
    <x v="116"/>
    <x v="271"/>
    <x v="4"/>
  </r>
  <r>
    <x v="0"/>
    <x v="52"/>
    <x v="52"/>
    <x v="11"/>
    <x v="11"/>
    <x v="11"/>
    <x v="7"/>
    <x v="241"/>
    <x v="549"/>
    <x v="46"/>
    <x v="403"/>
    <x v="151"/>
    <x v="517"/>
    <x v="4"/>
  </r>
  <r>
    <x v="0"/>
    <x v="52"/>
    <x v="52"/>
    <x v="13"/>
    <x v="13"/>
    <x v="13"/>
    <x v="8"/>
    <x v="279"/>
    <x v="230"/>
    <x v="38"/>
    <x v="578"/>
    <x v="185"/>
    <x v="217"/>
    <x v="4"/>
  </r>
  <r>
    <x v="0"/>
    <x v="52"/>
    <x v="52"/>
    <x v="15"/>
    <x v="15"/>
    <x v="15"/>
    <x v="8"/>
    <x v="279"/>
    <x v="230"/>
    <x v="36"/>
    <x v="586"/>
    <x v="117"/>
    <x v="170"/>
    <x v="4"/>
  </r>
  <r>
    <x v="0"/>
    <x v="52"/>
    <x v="52"/>
    <x v="6"/>
    <x v="6"/>
    <x v="6"/>
    <x v="10"/>
    <x v="242"/>
    <x v="538"/>
    <x v="35"/>
    <x v="50"/>
    <x v="151"/>
    <x v="517"/>
    <x v="4"/>
  </r>
  <r>
    <x v="0"/>
    <x v="52"/>
    <x v="52"/>
    <x v="2"/>
    <x v="2"/>
    <x v="2"/>
    <x v="10"/>
    <x v="242"/>
    <x v="538"/>
    <x v="44"/>
    <x v="139"/>
    <x v="118"/>
    <x v="521"/>
    <x v="4"/>
  </r>
  <r>
    <x v="0"/>
    <x v="52"/>
    <x v="52"/>
    <x v="10"/>
    <x v="10"/>
    <x v="10"/>
    <x v="12"/>
    <x v="243"/>
    <x v="550"/>
    <x v="34"/>
    <x v="232"/>
    <x v="117"/>
    <x v="170"/>
    <x v="4"/>
  </r>
  <r>
    <x v="0"/>
    <x v="52"/>
    <x v="52"/>
    <x v="16"/>
    <x v="16"/>
    <x v="16"/>
    <x v="12"/>
    <x v="243"/>
    <x v="550"/>
    <x v="46"/>
    <x v="403"/>
    <x v="117"/>
    <x v="170"/>
    <x v="4"/>
  </r>
  <r>
    <x v="0"/>
    <x v="52"/>
    <x v="52"/>
    <x v="9"/>
    <x v="9"/>
    <x v="9"/>
    <x v="12"/>
    <x v="243"/>
    <x v="550"/>
    <x v="34"/>
    <x v="232"/>
    <x v="185"/>
    <x v="217"/>
    <x v="4"/>
  </r>
  <r>
    <x v="0"/>
    <x v="52"/>
    <x v="52"/>
    <x v="18"/>
    <x v="18"/>
    <x v="18"/>
    <x v="15"/>
    <x v="246"/>
    <x v="374"/>
    <x v="52"/>
    <x v="51"/>
    <x v="118"/>
    <x v="521"/>
    <x v="4"/>
  </r>
  <r>
    <x v="0"/>
    <x v="52"/>
    <x v="52"/>
    <x v="14"/>
    <x v="14"/>
    <x v="14"/>
    <x v="16"/>
    <x v="284"/>
    <x v="162"/>
    <x v="52"/>
    <x v="51"/>
    <x v="113"/>
    <x v="326"/>
    <x v="4"/>
  </r>
  <r>
    <x v="0"/>
    <x v="52"/>
    <x v="52"/>
    <x v="12"/>
    <x v="12"/>
    <x v="12"/>
    <x v="16"/>
    <x v="284"/>
    <x v="162"/>
    <x v="46"/>
    <x v="403"/>
    <x v="201"/>
    <x v="309"/>
    <x v="4"/>
  </r>
  <r>
    <x v="0"/>
    <x v="52"/>
    <x v="52"/>
    <x v="23"/>
    <x v="23"/>
    <x v="23"/>
    <x v="16"/>
    <x v="284"/>
    <x v="162"/>
    <x v="46"/>
    <x v="403"/>
    <x v="201"/>
    <x v="309"/>
    <x v="4"/>
  </r>
  <r>
    <x v="0"/>
    <x v="52"/>
    <x v="52"/>
    <x v="20"/>
    <x v="20"/>
    <x v="20"/>
    <x v="19"/>
    <x v="285"/>
    <x v="534"/>
    <x v="53"/>
    <x v="141"/>
    <x v="117"/>
    <x v="170"/>
    <x v="4"/>
  </r>
  <r>
    <x v="0"/>
    <x v="52"/>
    <x v="52"/>
    <x v="28"/>
    <x v="28"/>
    <x v="28"/>
    <x v="19"/>
    <x v="285"/>
    <x v="534"/>
    <x v="44"/>
    <x v="139"/>
    <x v="201"/>
    <x v="309"/>
    <x v="4"/>
  </r>
  <r>
    <x v="0"/>
    <x v="53"/>
    <x v="53"/>
    <x v="0"/>
    <x v="0"/>
    <x v="0"/>
    <x v="0"/>
    <x v="119"/>
    <x v="551"/>
    <x v="47"/>
    <x v="587"/>
    <x v="200"/>
    <x v="261"/>
    <x v="4"/>
  </r>
  <r>
    <x v="0"/>
    <x v="53"/>
    <x v="53"/>
    <x v="3"/>
    <x v="3"/>
    <x v="3"/>
    <x v="1"/>
    <x v="107"/>
    <x v="552"/>
    <x v="46"/>
    <x v="588"/>
    <x v="150"/>
    <x v="522"/>
    <x v="4"/>
  </r>
  <r>
    <x v="0"/>
    <x v="53"/>
    <x v="53"/>
    <x v="7"/>
    <x v="7"/>
    <x v="7"/>
    <x v="2"/>
    <x v="281"/>
    <x v="553"/>
    <x v="61"/>
    <x v="589"/>
    <x v="117"/>
    <x v="523"/>
    <x v="4"/>
  </r>
  <r>
    <x v="0"/>
    <x v="53"/>
    <x v="53"/>
    <x v="5"/>
    <x v="5"/>
    <x v="5"/>
    <x v="3"/>
    <x v="279"/>
    <x v="414"/>
    <x v="58"/>
    <x v="590"/>
    <x v="199"/>
    <x v="524"/>
    <x v="4"/>
  </r>
  <r>
    <x v="0"/>
    <x v="53"/>
    <x v="53"/>
    <x v="6"/>
    <x v="6"/>
    <x v="6"/>
    <x v="3"/>
    <x v="279"/>
    <x v="414"/>
    <x v="46"/>
    <x v="588"/>
    <x v="118"/>
    <x v="525"/>
    <x v="4"/>
  </r>
  <r>
    <x v="0"/>
    <x v="53"/>
    <x v="53"/>
    <x v="1"/>
    <x v="1"/>
    <x v="1"/>
    <x v="3"/>
    <x v="279"/>
    <x v="414"/>
    <x v="86"/>
    <x v="591"/>
    <x v="201"/>
    <x v="309"/>
    <x v="4"/>
  </r>
  <r>
    <x v="0"/>
    <x v="53"/>
    <x v="53"/>
    <x v="4"/>
    <x v="4"/>
    <x v="4"/>
    <x v="6"/>
    <x v="245"/>
    <x v="554"/>
    <x v="34"/>
    <x v="592"/>
    <x v="200"/>
    <x v="261"/>
    <x v="4"/>
  </r>
  <r>
    <x v="0"/>
    <x v="53"/>
    <x v="53"/>
    <x v="9"/>
    <x v="9"/>
    <x v="9"/>
    <x v="7"/>
    <x v="284"/>
    <x v="154"/>
    <x v="54"/>
    <x v="593"/>
    <x v="185"/>
    <x v="320"/>
    <x v="4"/>
  </r>
  <r>
    <x v="0"/>
    <x v="53"/>
    <x v="53"/>
    <x v="15"/>
    <x v="15"/>
    <x v="15"/>
    <x v="7"/>
    <x v="284"/>
    <x v="154"/>
    <x v="46"/>
    <x v="588"/>
    <x v="201"/>
    <x v="309"/>
    <x v="4"/>
  </r>
  <r>
    <x v="0"/>
    <x v="53"/>
    <x v="53"/>
    <x v="24"/>
    <x v="24"/>
    <x v="24"/>
    <x v="9"/>
    <x v="286"/>
    <x v="555"/>
    <x v="52"/>
    <x v="51"/>
    <x v="117"/>
    <x v="523"/>
    <x v="4"/>
  </r>
  <r>
    <x v="0"/>
    <x v="53"/>
    <x v="53"/>
    <x v="43"/>
    <x v="43"/>
    <x v="43"/>
    <x v="10"/>
    <x v="287"/>
    <x v="127"/>
    <x v="52"/>
    <x v="51"/>
    <x v="185"/>
    <x v="320"/>
    <x v="4"/>
  </r>
  <r>
    <x v="0"/>
    <x v="53"/>
    <x v="53"/>
    <x v="22"/>
    <x v="22"/>
    <x v="22"/>
    <x v="10"/>
    <x v="287"/>
    <x v="127"/>
    <x v="52"/>
    <x v="51"/>
    <x v="185"/>
    <x v="320"/>
    <x v="4"/>
  </r>
  <r>
    <x v="0"/>
    <x v="53"/>
    <x v="53"/>
    <x v="33"/>
    <x v="33"/>
    <x v="33"/>
    <x v="10"/>
    <x v="287"/>
    <x v="127"/>
    <x v="53"/>
    <x v="594"/>
    <x v="200"/>
    <x v="261"/>
    <x v="4"/>
  </r>
  <r>
    <x v="0"/>
    <x v="53"/>
    <x v="53"/>
    <x v="17"/>
    <x v="17"/>
    <x v="17"/>
    <x v="10"/>
    <x v="287"/>
    <x v="127"/>
    <x v="53"/>
    <x v="594"/>
    <x v="200"/>
    <x v="261"/>
    <x v="4"/>
  </r>
  <r>
    <x v="0"/>
    <x v="53"/>
    <x v="53"/>
    <x v="11"/>
    <x v="11"/>
    <x v="11"/>
    <x v="10"/>
    <x v="287"/>
    <x v="127"/>
    <x v="54"/>
    <x v="593"/>
    <x v="201"/>
    <x v="309"/>
    <x v="4"/>
  </r>
  <r>
    <x v="0"/>
    <x v="53"/>
    <x v="53"/>
    <x v="2"/>
    <x v="2"/>
    <x v="2"/>
    <x v="10"/>
    <x v="287"/>
    <x v="127"/>
    <x v="52"/>
    <x v="51"/>
    <x v="185"/>
    <x v="320"/>
    <x v="4"/>
  </r>
  <r>
    <x v="0"/>
    <x v="53"/>
    <x v="53"/>
    <x v="12"/>
    <x v="12"/>
    <x v="12"/>
    <x v="10"/>
    <x v="287"/>
    <x v="127"/>
    <x v="52"/>
    <x v="51"/>
    <x v="185"/>
    <x v="320"/>
    <x v="4"/>
  </r>
  <r>
    <x v="0"/>
    <x v="53"/>
    <x v="53"/>
    <x v="16"/>
    <x v="16"/>
    <x v="16"/>
    <x v="10"/>
    <x v="287"/>
    <x v="127"/>
    <x v="52"/>
    <x v="51"/>
    <x v="185"/>
    <x v="320"/>
    <x v="4"/>
  </r>
  <r>
    <x v="0"/>
    <x v="53"/>
    <x v="53"/>
    <x v="26"/>
    <x v="26"/>
    <x v="26"/>
    <x v="18"/>
    <x v="288"/>
    <x v="556"/>
    <x v="53"/>
    <x v="594"/>
    <x v="201"/>
    <x v="309"/>
    <x v="4"/>
  </r>
  <r>
    <x v="0"/>
    <x v="53"/>
    <x v="53"/>
    <x v="51"/>
    <x v="51"/>
    <x v="51"/>
    <x v="18"/>
    <x v="288"/>
    <x v="556"/>
    <x v="53"/>
    <x v="594"/>
    <x v="201"/>
    <x v="309"/>
    <x v="4"/>
  </r>
  <r>
    <x v="0"/>
    <x v="53"/>
    <x v="53"/>
    <x v="41"/>
    <x v="41"/>
    <x v="41"/>
    <x v="18"/>
    <x v="288"/>
    <x v="556"/>
    <x v="52"/>
    <x v="51"/>
    <x v="200"/>
    <x v="261"/>
    <x v="4"/>
  </r>
  <r>
    <x v="0"/>
    <x v="53"/>
    <x v="53"/>
    <x v="52"/>
    <x v="52"/>
    <x v="52"/>
    <x v="18"/>
    <x v="288"/>
    <x v="556"/>
    <x v="53"/>
    <x v="594"/>
    <x v="201"/>
    <x v="309"/>
    <x v="4"/>
  </r>
  <r>
    <x v="0"/>
    <x v="53"/>
    <x v="53"/>
    <x v="53"/>
    <x v="53"/>
    <x v="53"/>
    <x v="18"/>
    <x v="288"/>
    <x v="556"/>
    <x v="53"/>
    <x v="594"/>
    <x v="201"/>
    <x v="309"/>
    <x v="4"/>
  </r>
  <r>
    <x v="0"/>
    <x v="53"/>
    <x v="53"/>
    <x v="35"/>
    <x v="35"/>
    <x v="35"/>
    <x v="18"/>
    <x v="288"/>
    <x v="556"/>
    <x v="53"/>
    <x v="594"/>
    <x v="201"/>
    <x v="309"/>
    <x v="4"/>
  </r>
  <r>
    <x v="0"/>
    <x v="53"/>
    <x v="53"/>
    <x v="54"/>
    <x v="54"/>
    <x v="54"/>
    <x v="18"/>
    <x v="288"/>
    <x v="556"/>
    <x v="52"/>
    <x v="51"/>
    <x v="201"/>
    <x v="309"/>
    <x v="4"/>
  </r>
  <r>
    <x v="0"/>
    <x v="53"/>
    <x v="53"/>
    <x v="31"/>
    <x v="31"/>
    <x v="31"/>
    <x v="18"/>
    <x v="288"/>
    <x v="556"/>
    <x v="52"/>
    <x v="51"/>
    <x v="200"/>
    <x v="261"/>
    <x v="4"/>
  </r>
  <r>
    <x v="0"/>
    <x v="53"/>
    <x v="53"/>
    <x v="30"/>
    <x v="30"/>
    <x v="30"/>
    <x v="18"/>
    <x v="288"/>
    <x v="556"/>
    <x v="52"/>
    <x v="51"/>
    <x v="201"/>
    <x v="309"/>
    <x v="1"/>
  </r>
  <r>
    <x v="0"/>
    <x v="53"/>
    <x v="53"/>
    <x v="19"/>
    <x v="19"/>
    <x v="19"/>
    <x v="18"/>
    <x v="288"/>
    <x v="556"/>
    <x v="52"/>
    <x v="51"/>
    <x v="200"/>
    <x v="261"/>
    <x v="4"/>
  </r>
  <r>
    <x v="0"/>
    <x v="53"/>
    <x v="53"/>
    <x v="13"/>
    <x v="13"/>
    <x v="13"/>
    <x v="18"/>
    <x v="288"/>
    <x v="556"/>
    <x v="53"/>
    <x v="594"/>
    <x v="201"/>
    <x v="309"/>
    <x v="4"/>
  </r>
  <r>
    <x v="0"/>
    <x v="53"/>
    <x v="53"/>
    <x v="36"/>
    <x v="36"/>
    <x v="36"/>
    <x v="18"/>
    <x v="288"/>
    <x v="556"/>
    <x v="52"/>
    <x v="51"/>
    <x v="200"/>
    <x v="261"/>
    <x v="4"/>
  </r>
  <r>
    <x v="0"/>
    <x v="53"/>
    <x v="53"/>
    <x v="29"/>
    <x v="29"/>
    <x v="29"/>
    <x v="18"/>
    <x v="288"/>
    <x v="556"/>
    <x v="52"/>
    <x v="51"/>
    <x v="200"/>
    <x v="261"/>
    <x v="4"/>
  </r>
  <r>
    <x v="0"/>
    <x v="53"/>
    <x v="53"/>
    <x v="55"/>
    <x v="55"/>
    <x v="55"/>
    <x v="18"/>
    <x v="288"/>
    <x v="556"/>
    <x v="52"/>
    <x v="51"/>
    <x v="200"/>
    <x v="261"/>
    <x v="4"/>
  </r>
  <r>
    <x v="0"/>
    <x v="53"/>
    <x v="53"/>
    <x v="28"/>
    <x v="28"/>
    <x v="28"/>
    <x v="18"/>
    <x v="288"/>
    <x v="556"/>
    <x v="53"/>
    <x v="594"/>
    <x v="201"/>
    <x v="309"/>
    <x v="4"/>
  </r>
  <r>
    <x v="0"/>
    <x v="53"/>
    <x v="53"/>
    <x v="18"/>
    <x v="18"/>
    <x v="18"/>
    <x v="18"/>
    <x v="288"/>
    <x v="556"/>
    <x v="52"/>
    <x v="51"/>
    <x v="200"/>
    <x v="261"/>
    <x v="4"/>
  </r>
  <r>
    <x v="0"/>
    <x v="53"/>
    <x v="53"/>
    <x v="46"/>
    <x v="46"/>
    <x v="46"/>
    <x v="18"/>
    <x v="288"/>
    <x v="556"/>
    <x v="52"/>
    <x v="51"/>
    <x v="200"/>
    <x v="261"/>
    <x v="4"/>
  </r>
  <r>
    <x v="0"/>
    <x v="54"/>
    <x v="54"/>
    <x v="3"/>
    <x v="3"/>
    <x v="3"/>
    <x v="0"/>
    <x v="117"/>
    <x v="319"/>
    <x v="36"/>
    <x v="595"/>
    <x v="97"/>
    <x v="526"/>
    <x v="4"/>
  </r>
  <r>
    <x v="0"/>
    <x v="54"/>
    <x v="54"/>
    <x v="1"/>
    <x v="1"/>
    <x v="1"/>
    <x v="1"/>
    <x v="104"/>
    <x v="557"/>
    <x v="67"/>
    <x v="596"/>
    <x v="200"/>
    <x v="527"/>
    <x v="4"/>
  </r>
  <r>
    <x v="0"/>
    <x v="54"/>
    <x v="54"/>
    <x v="0"/>
    <x v="0"/>
    <x v="0"/>
    <x v="1"/>
    <x v="104"/>
    <x v="557"/>
    <x v="18"/>
    <x v="597"/>
    <x v="117"/>
    <x v="315"/>
    <x v="4"/>
  </r>
  <r>
    <x v="0"/>
    <x v="54"/>
    <x v="54"/>
    <x v="5"/>
    <x v="5"/>
    <x v="5"/>
    <x v="3"/>
    <x v="169"/>
    <x v="558"/>
    <x v="61"/>
    <x v="598"/>
    <x v="116"/>
    <x v="524"/>
    <x v="4"/>
  </r>
  <r>
    <x v="0"/>
    <x v="54"/>
    <x v="54"/>
    <x v="15"/>
    <x v="15"/>
    <x v="15"/>
    <x v="4"/>
    <x v="119"/>
    <x v="96"/>
    <x v="66"/>
    <x v="599"/>
    <x v="185"/>
    <x v="261"/>
    <x v="4"/>
  </r>
  <r>
    <x v="0"/>
    <x v="54"/>
    <x v="54"/>
    <x v="6"/>
    <x v="6"/>
    <x v="6"/>
    <x v="5"/>
    <x v="109"/>
    <x v="559"/>
    <x v="35"/>
    <x v="57"/>
    <x v="150"/>
    <x v="528"/>
    <x v="4"/>
  </r>
  <r>
    <x v="0"/>
    <x v="54"/>
    <x v="54"/>
    <x v="4"/>
    <x v="4"/>
    <x v="4"/>
    <x v="6"/>
    <x v="279"/>
    <x v="382"/>
    <x v="34"/>
    <x v="600"/>
    <x v="113"/>
    <x v="529"/>
    <x v="4"/>
  </r>
  <r>
    <x v="0"/>
    <x v="54"/>
    <x v="54"/>
    <x v="7"/>
    <x v="7"/>
    <x v="7"/>
    <x v="7"/>
    <x v="243"/>
    <x v="185"/>
    <x v="34"/>
    <x v="600"/>
    <x v="185"/>
    <x v="261"/>
    <x v="1"/>
  </r>
  <r>
    <x v="0"/>
    <x v="54"/>
    <x v="54"/>
    <x v="9"/>
    <x v="9"/>
    <x v="9"/>
    <x v="7"/>
    <x v="243"/>
    <x v="185"/>
    <x v="58"/>
    <x v="601"/>
    <x v="185"/>
    <x v="261"/>
    <x v="4"/>
  </r>
  <r>
    <x v="0"/>
    <x v="54"/>
    <x v="54"/>
    <x v="11"/>
    <x v="11"/>
    <x v="11"/>
    <x v="9"/>
    <x v="244"/>
    <x v="297"/>
    <x v="46"/>
    <x v="602"/>
    <x v="117"/>
    <x v="315"/>
    <x v="4"/>
  </r>
  <r>
    <x v="0"/>
    <x v="54"/>
    <x v="54"/>
    <x v="8"/>
    <x v="8"/>
    <x v="8"/>
    <x v="9"/>
    <x v="244"/>
    <x v="297"/>
    <x v="34"/>
    <x v="600"/>
    <x v="185"/>
    <x v="261"/>
    <x v="4"/>
  </r>
  <r>
    <x v="0"/>
    <x v="54"/>
    <x v="54"/>
    <x v="14"/>
    <x v="14"/>
    <x v="14"/>
    <x v="11"/>
    <x v="245"/>
    <x v="77"/>
    <x v="52"/>
    <x v="51"/>
    <x v="151"/>
    <x v="530"/>
    <x v="4"/>
  </r>
  <r>
    <x v="0"/>
    <x v="54"/>
    <x v="54"/>
    <x v="27"/>
    <x v="27"/>
    <x v="27"/>
    <x v="12"/>
    <x v="246"/>
    <x v="343"/>
    <x v="35"/>
    <x v="57"/>
    <x v="117"/>
    <x v="315"/>
    <x v="4"/>
  </r>
  <r>
    <x v="0"/>
    <x v="54"/>
    <x v="54"/>
    <x v="13"/>
    <x v="13"/>
    <x v="13"/>
    <x v="13"/>
    <x v="284"/>
    <x v="158"/>
    <x v="46"/>
    <x v="602"/>
    <x v="201"/>
    <x v="309"/>
    <x v="4"/>
  </r>
  <r>
    <x v="0"/>
    <x v="54"/>
    <x v="54"/>
    <x v="12"/>
    <x v="12"/>
    <x v="12"/>
    <x v="14"/>
    <x v="285"/>
    <x v="328"/>
    <x v="53"/>
    <x v="421"/>
    <x v="117"/>
    <x v="315"/>
    <x v="4"/>
  </r>
  <r>
    <x v="0"/>
    <x v="54"/>
    <x v="54"/>
    <x v="22"/>
    <x v="22"/>
    <x v="22"/>
    <x v="15"/>
    <x v="286"/>
    <x v="487"/>
    <x v="52"/>
    <x v="51"/>
    <x v="117"/>
    <x v="315"/>
    <x v="4"/>
  </r>
  <r>
    <x v="0"/>
    <x v="54"/>
    <x v="54"/>
    <x v="19"/>
    <x v="19"/>
    <x v="19"/>
    <x v="15"/>
    <x v="286"/>
    <x v="487"/>
    <x v="52"/>
    <x v="51"/>
    <x v="117"/>
    <x v="315"/>
    <x v="4"/>
  </r>
  <r>
    <x v="0"/>
    <x v="54"/>
    <x v="54"/>
    <x v="2"/>
    <x v="2"/>
    <x v="2"/>
    <x v="15"/>
    <x v="286"/>
    <x v="487"/>
    <x v="53"/>
    <x v="421"/>
    <x v="185"/>
    <x v="261"/>
    <x v="4"/>
  </r>
  <r>
    <x v="0"/>
    <x v="54"/>
    <x v="54"/>
    <x v="23"/>
    <x v="23"/>
    <x v="23"/>
    <x v="15"/>
    <x v="286"/>
    <x v="487"/>
    <x v="53"/>
    <x v="421"/>
    <x v="185"/>
    <x v="261"/>
    <x v="4"/>
  </r>
  <r>
    <x v="0"/>
    <x v="54"/>
    <x v="54"/>
    <x v="32"/>
    <x v="32"/>
    <x v="32"/>
    <x v="19"/>
    <x v="287"/>
    <x v="560"/>
    <x v="52"/>
    <x v="51"/>
    <x v="185"/>
    <x v="261"/>
    <x v="4"/>
  </r>
  <r>
    <x v="0"/>
    <x v="54"/>
    <x v="54"/>
    <x v="56"/>
    <x v="56"/>
    <x v="56"/>
    <x v="19"/>
    <x v="287"/>
    <x v="560"/>
    <x v="52"/>
    <x v="51"/>
    <x v="185"/>
    <x v="261"/>
    <x v="4"/>
  </r>
  <r>
    <x v="0"/>
    <x v="54"/>
    <x v="54"/>
    <x v="47"/>
    <x v="47"/>
    <x v="47"/>
    <x v="19"/>
    <x v="287"/>
    <x v="560"/>
    <x v="52"/>
    <x v="51"/>
    <x v="185"/>
    <x v="261"/>
    <x v="4"/>
  </r>
  <r>
    <x v="0"/>
    <x v="54"/>
    <x v="54"/>
    <x v="10"/>
    <x v="10"/>
    <x v="10"/>
    <x v="19"/>
    <x v="287"/>
    <x v="560"/>
    <x v="54"/>
    <x v="211"/>
    <x v="201"/>
    <x v="309"/>
    <x v="4"/>
  </r>
  <r>
    <x v="0"/>
    <x v="54"/>
    <x v="54"/>
    <x v="16"/>
    <x v="16"/>
    <x v="16"/>
    <x v="19"/>
    <x v="287"/>
    <x v="560"/>
    <x v="52"/>
    <x v="51"/>
    <x v="185"/>
    <x v="261"/>
    <x v="4"/>
  </r>
  <r>
    <x v="0"/>
    <x v="54"/>
    <x v="54"/>
    <x v="18"/>
    <x v="18"/>
    <x v="18"/>
    <x v="19"/>
    <x v="287"/>
    <x v="560"/>
    <x v="52"/>
    <x v="51"/>
    <x v="185"/>
    <x v="261"/>
    <x v="4"/>
  </r>
  <r>
    <x v="0"/>
    <x v="55"/>
    <x v="55"/>
    <x v="0"/>
    <x v="0"/>
    <x v="0"/>
    <x v="0"/>
    <x v="69"/>
    <x v="561"/>
    <x v="23"/>
    <x v="603"/>
    <x v="117"/>
    <x v="88"/>
    <x v="4"/>
  </r>
  <r>
    <x v="0"/>
    <x v="55"/>
    <x v="55"/>
    <x v="1"/>
    <x v="1"/>
    <x v="1"/>
    <x v="1"/>
    <x v="105"/>
    <x v="403"/>
    <x v="80"/>
    <x v="22"/>
    <x v="199"/>
    <x v="531"/>
    <x v="4"/>
  </r>
  <r>
    <x v="0"/>
    <x v="55"/>
    <x v="55"/>
    <x v="3"/>
    <x v="3"/>
    <x v="3"/>
    <x v="2"/>
    <x v="119"/>
    <x v="245"/>
    <x v="44"/>
    <x v="604"/>
    <x v="106"/>
    <x v="532"/>
    <x v="4"/>
  </r>
  <r>
    <x v="0"/>
    <x v="55"/>
    <x v="55"/>
    <x v="5"/>
    <x v="5"/>
    <x v="5"/>
    <x v="3"/>
    <x v="108"/>
    <x v="562"/>
    <x v="34"/>
    <x v="205"/>
    <x v="105"/>
    <x v="533"/>
    <x v="4"/>
  </r>
  <r>
    <x v="0"/>
    <x v="55"/>
    <x v="55"/>
    <x v="6"/>
    <x v="6"/>
    <x v="6"/>
    <x v="4"/>
    <x v="281"/>
    <x v="41"/>
    <x v="46"/>
    <x v="372"/>
    <x v="116"/>
    <x v="534"/>
    <x v="4"/>
  </r>
  <r>
    <x v="0"/>
    <x v="55"/>
    <x v="55"/>
    <x v="7"/>
    <x v="7"/>
    <x v="7"/>
    <x v="4"/>
    <x v="281"/>
    <x v="41"/>
    <x v="86"/>
    <x v="605"/>
    <x v="185"/>
    <x v="194"/>
    <x v="4"/>
  </r>
  <r>
    <x v="0"/>
    <x v="55"/>
    <x v="55"/>
    <x v="27"/>
    <x v="27"/>
    <x v="27"/>
    <x v="6"/>
    <x v="279"/>
    <x v="260"/>
    <x v="36"/>
    <x v="606"/>
    <x v="117"/>
    <x v="88"/>
    <x v="4"/>
  </r>
  <r>
    <x v="0"/>
    <x v="55"/>
    <x v="55"/>
    <x v="11"/>
    <x v="11"/>
    <x v="11"/>
    <x v="7"/>
    <x v="242"/>
    <x v="563"/>
    <x v="34"/>
    <x v="205"/>
    <x v="199"/>
    <x v="531"/>
    <x v="4"/>
  </r>
  <r>
    <x v="0"/>
    <x v="55"/>
    <x v="55"/>
    <x v="4"/>
    <x v="4"/>
    <x v="4"/>
    <x v="8"/>
    <x v="243"/>
    <x v="7"/>
    <x v="44"/>
    <x v="604"/>
    <x v="113"/>
    <x v="535"/>
    <x v="4"/>
  </r>
  <r>
    <x v="0"/>
    <x v="55"/>
    <x v="55"/>
    <x v="26"/>
    <x v="26"/>
    <x v="26"/>
    <x v="9"/>
    <x v="245"/>
    <x v="285"/>
    <x v="54"/>
    <x v="607"/>
    <x v="113"/>
    <x v="535"/>
    <x v="4"/>
  </r>
  <r>
    <x v="0"/>
    <x v="55"/>
    <x v="55"/>
    <x v="13"/>
    <x v="13"/>
    <x v="13"/>
    <x v="10"/>
    <x v="246"/>
    <x v="138"/>
    <x v="46"/>
    <x v="372"/>
    <x v="200"/>
    <x v="536"/>
    <x v="4"/>
  </r>
  <r>
    <x v="0"/>
    <x v="55"/>
    <x v="55"/>
    <x v="8"/>
    <x v="8"/>
    <x v="8"/>
    <x v="11"/>
    <x v="284"/>
    <x v="176"/>
    <x v="44"/>
    <x v="604"/>
    <x v="200"/>
    <x v="536"/>
    <x v="4"/>
  </r>
  <r>
    <x v="0"/>
    <x v="55"/>
    <x v="55"/>
    <x v="22"/>
    <x v="22"/>
    <x v="22"/>
    <x v="12"/>
    <x v="285"/>
    <x v="221"/>
    <x v="53"/>
    <x v="608"/>
    <x v="117"/>
    <x v="88"/>
    <x v="4"/>
  </r>
  <r>
    <x v="0"/>
    <x v="55"/>
    <x v="55"/>
    <x v="35"/>
    <x v="35"/>
    <x v="35"/>
    <x v="12"/>
    <x v="285"/>
    <x v="221"/>
    <x v="44"/>
    <x v="604"/>
    <x v="201"/>
    <x v="309"/>
    <x v="4"/>
  </r>
  <r>
    <x v="0"/>
    <x v="55"/>
    <x v="55"/>
    <x v="2"/>
    <x v="2"/>
    <x v="2"/>
    <x v="12"/>
    <x v="285"/>
    <x v="221"/>
    <x v="52"/>
    <x v="51"/>
    <x v="199"/>
    <x v="531"/>
    <x v="4"/>
  </r>
  <r>
    <x v="0"/>
    <x v="55"/>
    <x v="55"/>
    <x v="15"/>
    <x v="15"/>
    <x v="15"/>
    <x v="12"/>
    <x v="285"/>
    <x v="221"/>
    <x v="54"/>
    <x v="607"/>
    <x v="185"/>
    <x v="194"/>
    <x v="4"/>
  </r>
  <r>
    <x v="0"/>
    <x v="55"/>
    <x v="55"/>
    <x v="21"/>
    <x v="21"/>
    <x v="21"/>
    <x v="12"/>
    <x v="285"/>
    <x v="221"/>
    <x v="52"/>
    <x v="51"/>
    <x v="199"/>
    <x v="531"/>
    <x v="4"/>
  </r>
  <r>
    <x v="0"/>
    <x v="55"/>
    <x v="55"/>
    <x v="33"/>
    <x v="33"/>
    <x v="33"/>
    <x v="17"/>
    <x v="286"/>
    <x v="108"/>
    <x v="53"/>
    <x v="608"/>
    <x v="185"/>
    <x v="194"/>
    <x v="4"/>
  </r>
  <r>
    <x v="0"/>
    <x v="55"/>
    <x v="55"/>
    <x v="24"/>
    <x v="24"/>
    <x v="24"/>
    <x v="17"/>
    <x v="286"/>
    <x v="108"/>
    <x v="52"/>
    <x v="51"/>
    <x v="117"/>
    <x v="88"/>
    <x v="4"/>
  </r>
  <r>
    <x v="0"/>
    <x v="55"/>
    <x v="55"/>
    <x v="17"/>
    <x v="17"/>
    <x v="17"/>
    <x v="17"/>
    <x v="286"/>
    <x v="108"/>
    <x v="53"/>
    <x v="608"/>
    <x v="185"/>
    <x v="194"/>
    <x v="4"/>
  </r>
  <r>
    <x v="0"/>
    <x v="55"/>
    <x v="55"/>
    <x v="12"/>
    <x v="12"/>
    <x v="12"/>
    <x v="17"/>
    <x v="286"/>
    <x v="108"/>
    <x v="53"/>
    <x v="608"/>
    <x v="185"/>
    <x v="194"/>
    <x v="4"/>
  </r>
  <r>
    <x v="0"/>
    <x v="56"/>
    <x v="56"/>
    <x v="3"/>
    <x v="3"/>
    <x v="3"/>
    <x v="0"/>
    <x v="107"/>
    <x v="564"/>
    <x v="58"/>
    <x v="609"/>
    <x v="105"/>
    <x v="537"/>
    <x v="4"/>
  </r>
  <r>
    <x v="0"/>
    <x v="56"/>
    <x v="56"/>
    <x v="1"/>
    <x v="1"/>
    <x v="1"/>
    <x v="1"/>
    <x v="108"/>
    <x v="38"/>
    <x v="81"/>
    <x v="610"/>
    <x v="117"/>
    <x v="182"/>
    <x v="4"/>
  </r>
  <r>
    <x v="0"/>
    <x v="56"/>
    <x v="56"/>
    <x v="6"/>
    <x v="6"/>
    <x v="6"/>
    <x v="2"/>
    <x v="241"/>
    <x v="565"/>
    <x v="53"/>
    <x v="365"/>
    <x v="150"/>
    <x v="303"/>
    <x v="4"/>
  </r>
  <r>
    <x v="0"/>
    <x v="56"/>
    <x v="56"/>
    <x v="0"/>
    <x v="0"/>
    <x v="0"/>
    <x v="2"/>
    <x v="241"/>
    <x v="565"/>
    <x v="81"/>
    <x v="610"/>
    <x v="201"/>
    <x v="309"/>
    <x v="4"/>
  </r>
  <r>
    <x v="0"/>
    <x v="56"/>
    <x v="56"/>
    <x v="4"/>
    <x v="4"/>
    <x v="4"/>
    <x v="4"/>
    <x v="242"/>
    <x v="566"/>
    <x v="34"/>
    <x v="611"/>
    <x v="199"/>
    <x v="538"/>
    <x v="4"/>
  </r>
  <r>
    <x v="0"/>
    <x v="56"/>
    <x v="56"/>
    <x v="7"/>
    <x v="7"/>
    <x v="7"/>
    <x v="5"/>
    <x v="243"/>
    <x v="567"/>
    <x v="58"/>
    <x v="609"/>
    <x v="185"/>
    <x v="539"/>
    <x v="4"/>
  </r>
  <r>
    <x v="0"/>
    <x v="56"/>
    <x v="56"/>
    <x v="15"/>
    <x v="15"/>
    <x v="15"/>
    <x v="6"/>
    <x v="246"/>
    <x v="568"/>
    <x v="44"/>
    <x v="612"/>
    <x v="185"/>
    <x v="539"/>
    <x v="4"/>
  </r>
  <r>
    <x v="0"/>
    <x v="56"/>
    <x v="56"/>
    <x v="5"/>
    <x v="5"/>
    <x v="5"/>
    <x v="7"/>
    <x v="284"/>
    <x v="372"/>
    <x v="35"/>
    <x v="613"/>
    <x v="185"/>
    <x v="539"/>
    <x v="4"/>
  </r>
  <r>
    <x v="0"/>
    <x v="56"/>
    <x v="56"/>
    <x v="22"/>
    <x v="22"/>
    <x v="22"/>
    <x v="7"/>
    <x v="284"/>
    <x v="372"/>
    <x v="52"/>
    <x v="51"/>
    <x v="113"/>
    <x v="540"/>
    <x v="4"/>
  </r>
  <r>
    <x v="0"/>
    <x v="56"/>
    <x v="56"/>
    <x v="45"/>
    <x v="45"/>
    <x v="45"/>
    <x v="7"/>
    <x v="284"/>
    <x v="372"/>
    <x v="54"/>
    <x v="614"/>
    <x v="117"/>
    <x v="182"/>
    <x v="4"/>
  </r>
  <r>
    <x v="0"/>
    <x v="56"/>
    <x v="56"/>
    <x v="2"/>
    <x v="2"/>
    <x v="2"/>
    <x v="7"/>
    <x v="284"/>
    <x v="372"/>
    <x v="53"/>
    <x v="365"/>
    <x v="199"/>
    <x v="538"/>
    <x v="4"/>
  </r>
  <r>
    <x v="0"/>
    <x v="56"/>
    <x v="56"/>
    <x v="11"/>
    <x v="11"/>
    <x v="11"/>
    <x v="11"/>
    <x v="285"/>
    <x v="569"/>
    <x v="54"/>
    <x v="614"/>
    <x v="185"/>
    <x v="539"/>
    <x v="4"/>
  </r>
  <r>
    <x v="0"/>
    <x v="56"/>
    <x v="56"/>
    <x v="46"/>
    <x v="46"/>
    <x v="46"/>
    <x v="11"/>
    <x v="285"/>
    <x v="569"/>
    <x v="52"/>
    <x v="51"/>
    <x v="199"/>
    <x v="538"/>
    <x v="4"/>
  </r>
  <r>
    <x v="0"/>
    <x v="56"/>
    <x v="56"/>
    <x v="38"/>
    <x v="38"/>
    <x v="38"/>
    <x v="13"/>
    <x v="286"/>
    <x v="207"/>
    <x v="52"/>
    <x v="51"/>
    <x v="117"/>
    <x v="182"/>
    <x v="4"/>
  </r>
  <r>
    <x v="0"/>
    <x v="56"/>
    <x v="56"/>
    <x v="52"/>
    <x v="52"/>
    <x v="52"/>
    <x v="13"/>
    <x v="286"/>
    <x v="207"/>
    <x v="53"/>
    <x v="365"/>
    <x v="185"/>
    <x v="539"/>
    <x v="4"/>
  </r>
  <r>
    <x v="0"/>
    <x v="56"/>
    <x v="56"/>
    <x v="9"/>
    <x v="9"/>
    <x v="9"/>
    <x v="13"/>
    <x v="286"/>
    <x v="207"/>
    <x v="54"/>
    <x v="614"/>
    <x v="200"/>
    <x v="541"/>
    <x v="4"/>
  </r>
  <r>
    <x v="0"/>
    <x v="56"/>
    <x v="56"/>
    <x v="21"/>
    <x v="21"/>
    <x v="21"/>
    <x v="13"/>
    <x v="286"/>
    <x v="207"/>
    <x v="52"/>
    <x v="51"/>
    <x v="117"/>
    <x v="182"/>
    <x v="4"/>
  </r>
  <r>
    <x v="0"/>
    <x v="56"/>
    <x v="56"/>
    <x v="57"/>
    <x v="57"/>
    <x v="57"/>
    <x v="17"/>
    <x v="287"/>
    <x v="209"/>
    <x v="52"/>
    <x v="51"/>
    <x v="185"/>
    <x v="539"/>
    <x v="4"/>
  </r>
  <r>
    <x v="0"/>
    <x v="56"/>
    <x v="56"/>
    <x v="43"/>
    <x v="43"/>
    <x v="43"/>
    <x v="17"/>
    <x v="287"/>
    <x v="209"/>
    <x v="53"/>
    <x v="365"/>
    <x v="200"/>
    <x v="541"/>
    <x v="4"/>
  </r>
  <r>
    <x v="0"/>
    <x v="56"/>
    <x v="56"/>
    <x v="33"/>
    <x v="33"/>
    <x v="33"/>
    <x v="17"/>
    <x v="287"/>
    <x v="209"/>
    <x v="52"/>
    <x v="51"/>
    <x v="185"/>
    <x v="539"/>
    <x v="4"/>
  </r>
  <r>
    <x v="0"/>
    <x v="56"/>
    <x v="56"/>
    <x v="58"/>
    <x v="58"/>
    <x v="58"/>
    <x v="17"/>
    <x v="287"/>
    <x v="209"/>
    <x v="53"/>
    <x v="365"/>
    <x v="200"/>
    <x v="541"/>
    <x v="4"/>
  </r>
  <r>
    <x v="0"/>
    <x v="56"/>
    <x v="56"/>
    <x v="35"/>
    <x v="35"/>
    <x v="35"/>
    <x v="17"/>
    <x v="287"/>
    <x v="209"/>
    <x v="54"/>
    <x v="614"/>
    <x v="201"/>
    <x v="309"/>
    <x v="4"/>
  </r>
  <r>
    <x v="0"/>
    <x v="56"/>
    <x v="56"/>
    <x v="13"/>
    <x v="13"/>
    <x v="13"/>
    <x v="17"/>
    <x v="287"/>
    <x v="209"/>
    <x v="53"/>
    <x v="365"/>
    <x v="200"/>
    <x v="541"/>
    <x v="4"/>
  </r>
  <r>
    <x v="0"/>
    <x v="56"/>
    <x v="56"/>
    <x v="14"/>
    <x v="14"/>
    <x v="14"/>
    <x v="17"/>
    <x v="287"/>
    <x v="209"/>
    <x v="52"/>
    <x v="51"/>
    <x v="185"/>
    <x v="539"/>
    <x v="4"/>
  </r>
  <r>
    <x v="0"/>
    <x v="56"/>
    <x v="56"/>
    <x v="10"/>
    <x v="10"/>
    <x v="10"/>
    <x v="17"/>
    <x v="287"/>
    <x v="209"/>
    <x v="53"/>
    <x v="365"/>
    <x v="200"/>
    <x v="541"/>
    <x v="4"/>
  </r>
  <r>
    <x v="0"/>
    <x v="56"/>
    <x v="56"/>
    <x v="12"/>
    <x v="12"/>
    <x v="12"/>
    <x v="17"/>
    <x v="287"/>
    <x v="209"/>
    <x v="53"/>
    <x v="365"/>
    <x v="200"/>
    <x v="541"/>
    <x v="4"/>
  </r>
  <r>
    <x v="0"/>
    <x v="56"/>
    <x v="56"/>
    <x v="27"/>
    <x v="27"/>
    <x v="27"/>
    <x v="17"/>
    <x v="287"/>
    <x v="209"/>
    <x v="53"/>
    <x v="365"/>
    <x v="200"/>
    <x v="541"/>
    <x v="4"/>
  </r>
  <r>
    <x v="0"/>
    <x v="57"/>
    <x v="57"/>
    <x v="1"/>
    <x v="1"/>
    <x v="1"/>
    <x v="0"/>
    <x v="104"/>
    <x v="570"/>
    <x v="80"/>
    <x v="615"/>
    <x v="113"/>
    <x v="493"/>
    <x v="4"/>
  </r>
  <r>
    <x v="0"/>
    <x v="57"/>
    <x v="57"/>
    <x v="3"/>
    <x v="3"/>
    <x v="3"/>
    <x v="1"/>
    <x v="106"/>
    <x v="571"/>
    <x v="34"/>
    <x v="150"/>
    <x v="102"/>
    <x v="542"/>
    <x v="4"/>
  </r>
  <r>
    <x v="0"/>
    <x v="57"/>
    <x v="57"/>
    <x v="0"/>
    <x v="0"/>
    <x v="0"/>
    <x v="1"/>
    <x v="106"/>
    <x v="571"/>
    <x v="55"/>
    <x v="616"/>
    <x v="201"/>
    <x v="309"/>
    <x v="4"/>
  </r>
  <r>
    <x v="0"/>
    <x v="57"/>
    <x v="57"/>
    <x v="5"/>
    <x v="5"/>
    <x v="5"/>
    <x v="3"/>
    <x v="107"/>
    <x v="394"/>
    <x v="38"/>
    <x v="538"/>
    <x v="151"/>
    <x v="543"/>
    <x v="4"/>
  </r>
  <r>
    <x v="0"/>
    <x v="57"/>
    <x v="57"/>
    <x v="7"/>
    <x v="7"/>
    <x v="7"/>
    <x v="3"/>
    <x v="107"/>
    <x v="394"/>
    <x v="47"/>
    <x v="617"/>
    <x v="201"/>
    <x v="309"/>
    <x v="4"/>
  </r>
  <r>
    <x v="0"/>
    <x v="57"/>
    <x v="57"/>
    <x v="4"/>
    <x v="4"/>
    <x v="4"/>
    <x v="5"/>
    <x v="243"/>
    <x v="150"/>
    <x v="44"/>
    <x v="618"/>
    <x v="113"/>
    <x v="493"/>
    <x v="4"/>
  </r>
  <r>
    <x v="0"/>
    <x v="57"/>
    <x v="57"/>
    <x v="15"/>
    <x v="15"/>
    <x v="15"/>
    <x v="5"/>
    <x v="243"/>
    <x v="150"/>
    <x v="36"/>
    <x v="619"/>
    <x v="200"/>
    <x v="74"/>
    <x v="4"/>
  </r>
  <r>
    <x v="0"/>
    <x v="57"/>
    <x v="57"/>
    <x v="6"/>
    <x v="6"/>
    <x v="6"/>
    <x v="7"/>
    <x v="245"/>
    <x v="499"/>
    <x v="54"/>
    <x v="241"/>
    <x v="113"/>
    <x v="493"/>
    <x v="4"/>
  </r>
  <r>
    <x v="0"/>
    <x v="57"/>
    <x v="57"/>
    <x v="8"/>
    <x v="8"/>
    <x v="8"/>
    <x v="8"/>
    <x v="284"/>
    <x v="410"/>
    <x v="46"/>
    <x v="620"/>
    <x v="201"/>
    <x v="309"/>
    <x v="4"/>
  </r>
  <r>
    <x v="0"/>
    <x v="57"/>
    <x v="57"/>
    <x v="11"/>
    <x v="11"/>
    <x v="11"/>
    <x v="9"/>
    <x v="285"/>
    <x v="252"/>
    <x v="44"/>
    <x v="618"/>
    <x v="201"/>
    <x v="309"/>
    <x v="4"/>
  </r>
  <r>
    <x v="0"/>
    <x v="57"/>
    <x v="57"/>
    <x v="22"/>
    <x v="22"/>
    <x v="22"/>
    <x v="10"/>
    <x v="286"/>
    <x v="433"/>
    <x v="52"/>
    <x v="51"/>
    <x v="117"/>
    <x v="492"/>
    <x v="4"/>
  </r>
  <r>
    <x v="0"/>
    <x v="57"/>
    <x v="57"/>
    <x v="24"/>
    <x v="24"/>
    <x v="24"/>
    <x v="10"/>
    <x v="286"/>
    <x v="433"/>
    <x v="52"/>
    <x v="51"/>
    <x v="117"/>
    <x v="492"/>
    <x v="4"/>
  </r>
  <r>
    <x v="0"/>
    <x v="57"/>
    <x v="57"/>
    <x v="19"/>
    <x v="19"/>
    <x v="19"/>
    <x v="10"/>
    <x v="286"/>
    <x v="433"/>
    <x v="53"/>
    <x v="621"/>
    <x v="185"/>
    <x v="207"/>
    <x v="4"/>
  </r>
  <r>
    <x v="0"/>
    <x v="57"/>
    <x v="57"/>
    <x v="9"/>
    <x v="9"/>
    <x v="9"/>
    <x v="10"/>
    <x v="286"/>
    <x v="433"/>
    <x v="54"/>
    <x v="241"/>
    <x v="200"/>
    <x v="74"/>
    <x v="4"/>
  </r>
  <r>
    <x v="0"/>
    <x v="57"/>
    <x v="57"/>
    <x v="26"/>
    <x v="26"/>
    <x v="26"/>
    <x v="14"/>
    <x v="287"/>
    <x v="386"/>
    <x v="52"/>
    <x v="51"/>
    <x v="185"/>
    <x v="207"/>
    <x v="4"/>
  </r>
  <r>
    <x v="0"/>
    <x v="57"/>
    <x v="57"/>
    <x v="50"/>
    <x v="50"/>
    <x v="50"/>
    <x v="14"/>
    <x v="287"/>
    <x v="386"/>
    <x v="53"/>
    <x v="621"/>
    <x v="200"/>
    <x v="74"/>
    <x v="4"/>
  </r>
  <r>
    <x v="0"/>
    <x v="57"/>
    <x v="57"/>
    <x v="57"/>
    <x v="57"/>
    <x v="57"/>
    <x v="14"/>
    <x v="287"/>
    <x v="386"/>
    <x v="52"/>
    <x v="51"/>
    <x v="185"/>
    <x v="207"/>
    <x v="4"/>
  </r>
  <r>
    <x v="0"/>
    <x v="57"/>
    <x v="57"/>
    <x v="32"/>
    <x v="32"/>
    <x v="32"/>
    <x v="14"/>
    <x v="287"/>
    <x v="386"/>
    <x v="53"/>
    <x v="621"/>
    <x v="200"/>
    <x v="74"/>
    <x v="4"/>
  </r>
  <r>
    <x v="0"/>
    <x v="57"/>
    <x v="57"/>
    <x v="38"/>
    <x v="38"/>
    <x v="38"/>
    <x v="14"/>
    <x v="287"/>
    <x v="386"/>
    <x v="52"/>
    <x v="51"/>
    <x v="185"/>
    <x v="207"/>
    <x v="4"/>
  </r>
  <r>
    <x v="0"/>
    <x v="57"/>
    <x v="57"/>
    <x v="43"/>
    <x v="43"/>
    <x v="43"/>
    <x v="14"/>
    <x v="287"/>
    <x v="386"/>
    <x v="53"/>
    <x v="621"/>
    <x v="200"/>
    <x v="74"/>
    <x v="4"/>
  </r>
  <r>
    <x v="0"/>
    <x v="57"/>
    <x v="57"/>
    <x v="33"/>
    <x v="33"/>
    <x v="33"/>
    <x v="14"/>
    <x v="287"/>
    <x v="386"/>
    <x v="52"/>
    <x v="51"/>
    <x v="185"/>
    <x v="207"/>
    <x v="4"/>
  </r>
  <r>
    <x v="0"/>
    <x v="57"/>
    <x v="57"/>
    <x v="59"/>
    <x v="59"/>
    <x v="59"/>
    <x v="14"/>
    <x v="287"/>
    <x v="386"/>
    <x v="53"/>
    <x v="621"/>
    <x v="200"/>
    <x v="74"/>
    <x v="4"/>
  </r>
  <r>
    <x v="0"/>
    <x v="57"/>
    <x v="57"/>
    <x v="31"/>
    <x v="31"/>
    <x v="31"/>
    <x v="14"/>
    <x v="287"/>
    <x v="386"/>
    <x v="52"/>
    <x v="51"/>
    <x v="185"/>
    <x v="207"/>
    <x v="4"/>
  </r>
  <r>
    <x v="0"/>
    <x v="57"/>
    <x v="57"/>
    <x v="20"/>
    <x v="20"/>
    <x v="20"/>
    <x v="14"/>
    <x v="287"/>
    <x v="386"/>
    <x v="53"/>
    <x v="621"/>
    <x v="200"/>
    <x v="74"/>
    <x v="4"/>
  </r>
  <r>
    <x v="0"/>
    <x v="57"/>
    <x v="57"/>
    <x v="36"/>
    <x v="36"/>
    <x v="36"/>
    <x v="14"/>
    <x v="287"/>
    <x v="386"/>
    <x v="53"/>
    <x v="621"/>
    <x v="200"/>
    <x v="74"/>
    <x v="4"/>
  </r>
  <r>
    <x v="0"/>
    <x v="57"/>
    <x v="57"/>
    <x v="2"/>
    <x v="2"/>
    <x v="2"/>
    <x v="14"/>
    <x v="287"/>
    <x v="386"/>
    <x v="52"/>
    <x v="51"/>
    <x v="185"/>
    <x v="207"/>
    <x v="4"/>
  </r>
  <r>
    <x v="0"/>
    <x v="57"/>
    <x v="57"/>
    <x v="23"/>
    <x v="23"/>
    <x v="23"/>
    <x v="14"/>
    <x v="287"/>
    <x v="386"/>
    <x v="53"/>
    <x v="621"/>
    <x v="200"/>
    <x v="74"/>
    <x v="4"/>
  </r>
  <r>
    <x v="0"/>
    <x v="57"/>
    <x v="57"/>
    <x v="18"/>
    <x v="18"/>
    <x v="18"/>
    <x v="14"/>
    <x v="287"/>
    <x v="386"/>
    <x v="52"/>
    <x v="51"/>
    <x v="185"/>
    <x v="207"/>
    <x v="4"/>
  </r>
  <r>
    <x v="0"/>
    <x v="58"/>
    <x v="58"/>
    <x v="1"/>
    <x v="1"/>
    <x v="1"/>
    <x v="0"/>
    <x v="112"/>
    <x v="572"/>
    <x v="95"/>
    <x v="622"/>
    <x v="105"/>
    <x v="544"/>
    <x v="4"/>
  </r>
  <r>
    <x v="0"/>
    <x v="58"/>
    <x v="58"/>
    <x v="4"/>
    <x v="4"/>
    <x v="4"/>
    <x v="1"/>
    <x v="83"/>
    <x v="573"/>
    <x v="55"/>
    <x v="623"/>
    <x v="99"/>
    <x v="545"/>
    <x v="4"/>
  </r>
  <r>
    <x v="0"/>
    <x v="58"/>
    <x v="58"/>
    <x v="0"/>
    <x v="0"/>
    <x v="0"/>
    <x v="2"/>
    <x v="69"/>
    <x v="574"/>
    <x v="127"/>
    <x v="624"/>
    <x v="199"/>
    <x v="88"/>
    <x v="4"/>
  </r>
  <r>
    <x v="0"/>
    <x v="58"/>
    <x v="58"/>
    <x v="5"/>
    <x v="5"/>
    <x v="5"/>
    <x v="3"/>
    <x v="104"/>
    <x v="357"/>
    <x v="47"/>
    <x v="625"/>
    <x v="105"/>
    <x v="544"/>
    <x v="4"/>
  </r>
  <r>
    <x v="0"/>
    <x v="58"/>
    <x v="58"/>
    <x v="3"/>
    <x v="3"/>
    <x v="3"/>
    <x v="4"/>
    <x v="203"/>
    <x v="575"/>
    <x v="36"/>
    <x v="49"/>
    <x v="66"/>
    <x v="533"/>
    <x v="4"/>
  </r>
  <r>
    <x v="0"/>
    <x v="58"/>
    <x v="58"/>
    <x v="7"/>
    <x v="7"/>
    <x v="7"/>
    <x v="4"/>
    <x v="203"/>
    <x v="575"/>
    <x v="61"/>
    <x v="63"/>
    <x v="91"/>
    <x v="546"/>
    <x v="4"/>
  </r>
  <r>
    <x v="0"/>
    <x v="58"/>
    <x v="58"/>
    <x v="6"/>
    <x v="6"/>
    <x v="6"/>
    <x v="6"/>
    <x v="241"/>
    <x v="185"/>
    <x v="36"/>
    <x v="49"/>
    <x v="199"/>
    <x v="88"/>
    <x v="4"/>
  </r>
  <r>
    <x v="0"/>
    <x v="58"/>
    <x v="58"/>
    <x v="11"/>
    <x v="11"/>
    <x v="11"/>
    <x v="6"/>
    <x v="241"/>
    <x v="185"/>
    <x v="46"/>
    <x v="626"/>
    <x v="151"/>
    <x v="134"/>
    <x v="4"/>
  </r>
  <r>
    <x v="0"/>
    <x v="58"/>
    <x v="58"/>
    <x v="15"/>
    <x v="15"/>
    <x v="15"/>
    <x v="8"/>
    <x v="244"/>
    <x v="343"/>
    <x v="46"/>
    <x v="626"/>
    <x v="117"/>
    <x v="9"/>
    <x v="4"/>
  </r>
  <r>
    <x v="0"/>
    <x v="58"/>
    <x v="58"/>
    <x v="26"/>
    <x v="26"/>
    <x v="26"/>
    <x v="9"/>
    <x v="245"/>
    <x v="384"/>
    <x v="44"/>
    <x v="169"/>
    <x v="117"/>
    <x v="9"/>
    <x v="4"/>
  </r>
  <r>
    <x v="0"/>
    <x v="58"/>
    <x v="58"/>
    <x v="22"/>
    <x v="22"/>
    <x v="22"/>
    <x v="9"/>
    <x v="245"/>
    <x v="384"/>
    <x v="53"/>
    <x v="627"/>
    <x v="118"/>
    <x v="547"/>
    <x v="4"/>
  </r>
  <r>
    <x v="0"/>
    <x v="58"/>
    <x v="58"/>
    <x v="57"/>
    <x v="57"/>
    <x v="57"/>
    <x v="11"/>
    <x v="246"/>
    <x v="190"/>
    <x v="53"/>
    <x v="627"/>
    <x v="113"/>
    <x v="31"/>
    <x v="4"/>
  </r>
  <r>
    <x v="0"/>
    <x v="58"/>
    <x v="58"/>
    <x v="2"/>
    <x v="2"/>
    <x v="2"/>
    <x v="11"/>
    <x v="246"/>
    <x v="190"/>
    <x v="35"/>
    <x v="330"/>
    <x v="117"/>
    <x v="9"/>
    <x v="4"/>
  </r>
  <r>
    <x v="0"/>
    <x v="58"/>
    <x v="58"/>
    <x v="43"/>
    <x v="43"/>
    <x v="43"/>
    <x v="13"/>
    <x v="284"/>
    <x v="433"/>
    <x v="35"/>
    <x v="330"/>
    <x v="185"/>
    <x v="548"/>
    <x v="4"/>
  </r>
  <r>
    <x v="0"/>
    <x v="58"/>
    <x v="58"/>
    <x v="17"/>
    <x v="17"/>
    <x v="17"/>
    <x v="13"/>
    <x v="284"/>
    <x v="433"/>
    <x v="52"/>
    <x v="51"/>
    <x v="113"/>
    <x v="31"/>
    <x v="4"/>
  </r>
  <r>
    <x v="0"/>
    <x v="58"/>
    <x v="58"/>
    <x v="27"/>
    <x v="27"/>
    <x v="27"/>
    <x v="13"/>
    <x v="284"/>
    <x v="433"/>
    <x v="35"/>
    <x v="330"/>
    <x v="185"/>
    <x v="548"/>
    <x v="4"/>
  </r>
  <r>
    <x v="0"/>
    <x v="58"/>
    <x v="58"/>
    <x v="8"/>
    <x v="8"/>
    <x v="8"/>
    <x v="13"/>
    <x v="284"/>
    <x v="433"/>
    <x v="44"/>
    <x v="169"/>
    <x v="200"/>
    <x v="549"/>
    <x v="4"/>
  </r>
  <r>
    <x v="0"/>
    <x v="58"/>
    <x v="58"/>
    <x v="36"/>
    <x v="36"/>
    <x v="36"/>
    <x v="17"/>
    <x v="285"/>
    <x v="487"/>
    <x v="53"/>
    <x v="627"/>
    <x v="117"/>
    <x v="9"/>
    <x v="4"/>
  </r>
  <r>
    <x v="0"/>
    <x v="58"/>
    <x v="58"/>
    <x v="28"/>
    <x v="28"/>
    <x v="28"/>
    <x v="17"/>
    <x v="285"/>
    <x v="487"/>
    <x v="52"/>
    <x v="51"/>
    <x v="117"/>
    <x v="9"/>
    <x v="4"/>
  </r>
  <r>
    <x v="0"/>
    <x v="58"/>
    <x v="58"/>
    <x v="9"/>
    <x v="9"/>
    <x v="9"/>
    <x v="17"/>
    <x v="285"/>
    <x v="487"/>
    <x v="35"/>
    <x v="330"/>
    <x v="201"/>
    <x v="309"/>
    <x v="4"/>
  </r>
  <r>
    <x v="0"/>
    <x v="59"/>
    <x v="59"/>
    <x v="1"/>
    <x v="1"/>
    <x v="1"/>
    <x v="0"/>
    <x v="102"/>
    <x v="576"/>
    <x v="18"/>
    <x v="628"/>
    <x v="113"/>
    <x v="550"/>
    <x v="4"/>
  </r>
  <r>
    <x v="0"/>
    <x v="59"/>
    <x v="59"/>
    <x v="0"/>
    <x v="0"/>
    <x v="0"/>
    <x v="1"/>
    <x v="104"/>
    <x v="577"/>
    <x v="45"/>
    <x v="629"/>
    <x v="201"/>
    <x v="309"/>
    <x v="4"/>
  </r>
  <r>
    <x v="0"/>
    <x v="59"/>
    <x v="59"/>
    <x v="27"/>
    <x v="27"/>
    <x v="27"/>
    <x v="2"/>
    <x v="267"/>
    <x v="578"/>
    <x v="47"/>
    <x v="630"/>
    <x v="118"/>
    <x v="551"/>
    <x v="4"/>
  </r>
  <r>
    <x v="0"/>
    <x v="59"/>
    <x v="59"/>
    <x v="3"/>
    <x v="3"/>
    <x v="3"/>
    <x v="3"/>
    <x v="107"/>
    <x v="378"/>
    <x v="46"/>
    <x v="84"/>
    <x v="150"/>
    <x v="552"/>
    <x v="4"/>
  </r>
  <r>
    <x v="0"/>
    <x v="59"/>
    <x v="59"/>
    <x v="4"/>
    <x v="4"/>
    <x v="4"/>
    <x v="4"/>
    <x v="108"/>
    <x v="579"/>
    <x v="38"/>
    <x v="459"/>
    <x v="118"/>
    <x v="551"/>
    <x v="4"/>
  </r>
  <r>
    <x v="0"/>
    <x v="59"/>
    <x v="59"/>
    <x v="7"/>
    <x v="7"/>
    <x v="7"/>
    <x v="5"/>
    <x v="109"/>
    <x v="448"/>
    <x v="86"/>
    <x v="631"/>
    <x v="117"/>
    <x v="221"/>
    <x v="4"/>
  </r>
  <r>
    <x v="0"/>
    <x v="59"/>
    <x v="59"/>
    <x v="2"/>
    <x v="2"/>
    <x v="2"/>
    <x v="6"/>
    <x v="279"/>
    <x v="536"/>
    <x v="44"/>
    <x v="626"/>
    <x v="151"/>
    <x v="222"/>
    <x v="4"/>
  </r>
  <r>
    <x v="0"/>
    <x v="59"/>
    <x v="59"/>
    <x v="5"/>
    <x v="5"/>
    <x v="5"/>
    <x v="7"/>
    <x v="243"/>
    <x v="8"/>
    <x v="46"/>
    <x v="84"/>
    <x v="199"/>
    <x v="553"/>
    <x v="4"/>
  </r>
  <r>
    <x v="0"/>
    <x v="59"/>
    <x v="59"/>
    <x v="11"/>
    <x v="11"/>
    <x v="11"/>
    <x v="8"/>
    <x v="244"/>
    <x v="296"/>
    <x v="35"/>
    <x v="378"/>
    <x v="113"/>
    <x v="550"/>
    <x v="4"/>
  </r>
  <r>
    <x v="0"/>
    <x v="59"/>
    <x v="59"/>
    <x v="28"/>
    <x v="28"/>
    <x v="28"/>
    <x v="9"/>
    <x v="245"/>
    <x v="10"/>
    <x v="34"/>
    <x v="632"/>
    <x v="201"/>
    <x v="309"/>
    <x v="4"/>
  </r>
  <r>
    <x v="0"/>
    <x v="59"/>
    <x v="59"/>
    <x v="6"/>
    <x v="6"/>
    <x v="6"/>
    <x v="10"/>
    <x v="246"/>
    <x v="362"/>
    <x v="35"/>
    <x v="378"/>
    <x v="117"/>
    <x v="221"/>
    <x v="4"/>
  </r>
  <r>
    <x v="0"/>
    <x v="59"/>
    <x v="59"/>
    <x v="9"/>
    <x v="9"/>
    <x v="9"/>
    <x v="10"/>
    <x v="246"/>
    <x v="362"/>
    <x v="54"/>
    <x v="140"/>
    <x v="185"/>
    <x v="67"/>
    <x v="4"/>
  </r>
  <r>
    <x v="0"/>
    <x v="59"/>
    <x v="59"/>
    <x v="8"/>
    <x v="8"/>
    <x v="8"/>
    <x v="10"/>
    <x v="246"/>
    <x v="362"/>
    <x v="34"/>
    <x v="632"/>
    <x v="201"/>
    <x v="309"/>
    <x v="4"/>
  </r>
  <r>
    <x v="0"/>
    <x v="59"/>
    <x v="59"/>
    <x v="10"/>
    <x v="10"/>
    <x v="10"/>
    <x v="13"/>
    <x v="284"/>
    <x v="80"/>
    <x v="54"/>
    <x v="140"/>
    <x v="117"/>
    <x v="221"/>
    <x v="4"/>
  </r>
  <r>
    <x v="0"/>
    <x v="59"/>
    <x v="59"/>
    <x v="24"/>
    <x v="24"/>
    <x v="24"/>
    <x v="14"/>
    <x v="285"/>
    <x v="208"/>
    <x v="54"/>
    <x v="140"/>
    <x v="185"/>
    <x v="67"/>
    <x v="4"/>
  </r>
  <r>
    <x v="0"/>
    <x v="59"/>
    <x v="59"/>
    <x v="14"/>
    <x v="14"/>
    <x v="14"/>
    <x v="14"/>
    <x v="285"/>
    <x v="208"/>
    <x v="52"/>
    <x v="51"/>
    <x v="199"/>
    <x v="553"/>
    <x v="4"/>
  </r>
  <r>
    <x v="0"/>
    <x v="59"/>
    <x v="59"/>
    <x v="15"/>
    <x v="15"/>
    <x v="15"/>
    <x v="14"/>
    <x v="285"/>
    <x v="208"/>
    <x v="35"/>
    <x v="378"/>
    <x v="200"/>
    <x v="554"/>
    <x v="4"/>
  </r>
  <r>
    <x v="0"/>
    <x v="59"/>
    <x v="59"/>
    <x v="50"/>
    <x v="50"/>
    <x v="50"/>
    <x v="17"/>
    <x v="287"/>
    <x v="580"/>
    <x v="53"/>
    <x v="633"/>
    <x v="200"/>
    <x v="554"/>
    <x v="4"/>
  </r>
  <r>
    <x v="0"/>
    <x v="59"/>
    <x v="59"/>
    <x v="41"/>
    <x v="41"/>
    <x v="41"/>
    <x v="17"/>
    <x v="287"/>
    <x v="580"/>
    <x v="53"/>
    <x v="633"/>
    <x v="200"/>
    <x v="554"/>
    <x v="4"/>
  </r>
  <r>
    <x v="0"/>
    <x v="59"/>
    <x v="59"/>
    <x v="33"/>
    <x v="33"/>
    <x v="33"/>
    <x v="17"/>
    <x v="287"/>
    <x v="580"/>
    <x v="54"/>
    <x v="140"/>
    <x v="201"/>
    <x v="309"/>
    <x v="4"/>
  </r>
  <r>
    <x v="0"/>
    <x v="59"/>
    <x v="59"/>
    <x v="39"/>
    <x v="39"/>
    <x v="39"/>
    <x v="17"/>
    <x v="287"/>
    <x v="580"/>
    <x v="53"/>
    <x v="633"/>
    <x v="200"/>
    <x v="554"/>
    <x v="4"/>
  </r>
  <r>
    <x v="0"/>
    <x v="59"/>
    <x v="59"/>
    <x v="35"/>
    <x v="35"/>
    <x v="35"/>
    <x v="17"/>
    <x v="287"/>
    <x v="580"/>
    <x v="53"/>
    <x v="633"/>
    <x v="200"/>
    <x v="554"/>
    <x v="4"/>
  </r>
  <r>
    <x v="0"/>
    <x v="59"/>
    <x v="59"/>
    <x v="25"/>
    <x v="25"/>
    <x v="25"/>
    <x v="17"/>
    <x v="287"/>
    <x v="580"/>
    <x v="52"/>
    <x v="51"/>
    <x v="185"/>
    <x v="67"/>
    <x v="4"/>
  </r>
  <r>
    <x v="0"/>
    <x v="59"/>
    <x v="59"/>
    <x v="59"/>
    <x v="59"/>
    <x v="59"/>
    <x v="17"/>
    <x v="287"/>
    <x v="580"/>
    <x v="53"/>
    <x v="633"/>
    <x v="200"/>
    <x v="554"/>
    <x v="4"/>
  </r>
  <r>
    <x v="0"/>
    <x v="59"/>
    <x v="59"/>
    <x v="17"/>
    <x v="17"/>
    <x v="17"/>
    <x v="17"/>
    <x v="287"/>
    <x v="580"/>
    <x v="52"/>
    <x v="51"/>
    <x v="185"/>
    <x v="67"/>
    <x v="4"/>
  </r>
  <r>
    <x v="0"/>
    <x v="59"/>
    <x v="59"/>
    <x v="13"/>
    <x v="13"/>
    <x v="13"/>
    <x v="17"/>
    <x v="287"/>
    <x v="580"/>
    <x v="54"/>
    <x v="140"/>
    <x v="201"/>
    <x v="309"/>
    <x v="4"/>
  </r>
  <r>
    <x v="0"/>
    <x v="59"/>
    <x v="59"/>
    <x v="12"/>
    <x v="12"/>
    <x v="12"/>
    <x v="17"/>
    <x v="287"/>
    <x v="580"/>
    <x v="52"/>
    <x v="51"/>
    <x v="185"/>
    <x v="67"/>
    <x v="4"/>
  </r>
  <r>
    <x v="0"/>
    <x v="59"/>
    <x v="59"/>
    <x v="16"/>
    <x v="16"/>
    <x v="16"/>
    <x v="17"/>
    <x v="287"/>
    <x v="580"/>
    <x v="54"/>
    <x v="140"/>
    <x v="201"/>
    <x v="309"/>
    <x v="4"/>
  </r>
  <r>
    <x v="0"/>
    <x v="60"/>
    <x v="60"/>
    <x v="1"/>
    <x v="1"/>
    <x v="1"/>
    <x v="0"/>
    <x v="113"/>
    <x v="581"/>
    <x v="122"/>
    <x v="634"/>
    <x v="113"/>
    <x v="495"/>
    <x v="4"/>
  </r>
  <r>
    <x v="0"/>
    <x v="60"/>
    <x v="60"/>
    <x v="7"/>
    <x v="7"/>
    <x v="7"/>
    <x v="1"/>
    <x v="116"/>
    <x v="582"/>
    <x v="18"/>
    <x v="635"/>
    <x v="151"/>
    <x v="555"/>
    <x v="4"/>
  </r>
  <r>
    <x v="0"/>
    <x v="60"/>
    <x v="60"/>
    <x v="0"/>
    <x v="0"/>
    <x v="0"/>
    <x v="2"/>
    <x v="105"/>
    <x v="583"/>
    <x v="18"/>
    <x v="635"/>
    <x v="185"/>
    <x v="329"/>
    <x v="4"/>
  </r>
  <r>
    <x v="0"/>
    <x v="60"/>
    <x v="60"/>
    <x v="3"/>
    <x v="3"/>
    <x v="3"/>
    <x v="3"/>
    <x v="119"/>
    <x v="584"/>
    <x v="58"/>
    <x v="91"/>
    <x v="91"/>
    <x v="556"/>
    <x v="4"/>
  </r>
  <r>
    <x v="0"/>
    <x v="60"/>
    <x v="60"/>
    <x v="5"/>
    <x v="5"/>
    <x v="5"/>
    <x v="3"/>
    <x v="119"/>
    <x v="584"/>
    <x v="81"/>
    <x v="233"/>
    <x v="113"/>
    <x v="495"/>
    <x v="4"/>
  </r>
  <r>
    <x v="0"/>
    <x v="60"/>
    <x v="60"/>
    <x v="4"/>
    <x v="4"/>
    <x v="4"/>
    <x v="5"/>
    <x v="281"/>
    <x v="585"/>
    <x v="61"/>
    <x v="636"/>
    <x v="117"/>
    <x v="501"/>
    <x v="4"/>
  </r>
  <r>
    <x v="0"/>
    <x v="60"/>
    <x v="60"/>
    <x v="27"/>
    <x v="27"/>
    <x v="27"/>
    <x v="6"/>
    <x v="245"/>
    <x v="122"/>
    <x v="34"/>
    <x v="637"/>
    <x v="200"/>
    <x v="500"/>
    <x v="4"/>
  </r>
  <r>
    <x v="0"/>
    <x v="60"/>
    <x v="60"/>
    <x v="6"/>
    <x v="6"/>
    <x v="6"/>
    <x v="7"/>
    <x v="246"/>
    <x v="48"/>
    <x v="44"/>
    <x v="225"/>
    <x v="185"/>
    <x v="329"/>
    <x v="4"/>
  </r>
  <r>
    <x v="0"/>
    <x v="60"/>
    <x v="60"/>
    <x v="24"/>
    <x v="24"/>
    <x v="24"/>
    <x v="7"/>
    <x v="246"/>
    <x v="48"/>
    <x v="53"/>
    <x v="186"/>
    <x v="113"/>
    <x v="495"/>
    <x v="4"/>
  </r>
  <r>
    <x v="0"/>
    <x v="60"/>
    <x v="60"/>
    <x v="17"/>
    <x v="17"/>
    <x v="17"/>
    <x v="7"/>
    <x v="246"/>
    <x v="48"/>
    <x v="54"/>
    <x v="138"/>
    <x v="199"/>
    <x v="498"/>
    <x v="4"/>
  </r>
  <r>
    <x v="0"/>
    <x v="60"/>
    <x v="60"/>
    <x v="13"/>
    <x v="13"/>
    <x v="13"/>
    <x v="7"/>
    <x v="246"/>
    <x v="48"/>
    <x v="35"/>
    <x v="332"/>
    <x v="117"/>
    <x v="501"/>
    <x v="4"/>
  </r>
  <r>
    <x v="0"/>
    <x v="60"/>
    <x v="60"/>
    <x v="9"/>
    <x v="9"/>
    <x v="9"/>
    <x v="7"/>
    <x v="246"/>
    <x v="48"/>
    <x v="44"/>
    <x v="225"/>
    <x v="201"/>
    <x v="309"/>
    <x v="4"/>
  </r>
  <r>
    <x v="0"/>
    <x v="60"/>
    <x v="60"/>
    <x v="18"/>
    <x v="18"/>
    <x v="18"/>
    <x v="12"/>
    <x v="284"/>
    <x v="451"/>
    <x v="52"/>
    <x v="51"/>
    <x v="113"/>
    <x v="495"/>
    <x v="4"/>
  </r>
  <r>
    <x v="0"/>
    <x v="60"/>
    <x v="60"/>
    <x v="15"/>
    <x v="15"/>
    <x v="15"/>
    <x v="12"/>
    <x v="284"/>
    <x v="451"/>
    <x v="35"/>
    <x v="332"/>
    <x v="185"/>
    <x v="329"/>
    <x v="4"/>
  </r>
  <r>
    <x v="0"/>
    <x v="60"/>
    <x v="60"/>
    <x v="28"/>
    <x v="28"/>
    <x v="28"/>
    <x v="14"/>
    <x v="285"/>
    <x v="375"/>
    <x v="35"/>
    <x v="332"/>
    <x v="200"/>
    <x v="500"/>
    <x v="4"/>
  </r>
  <r>
    <x v="0"/>
    <x v="60"/>
    <x v="60"/>
    <x v="8"/>
    <x v="8"/>
    <x v="8"/>
    <x v="14"/>
    <x v="285"/>
    <x v="375"/>
    <x v="44"/>
    <x v="225"/>
    <x v="201"/>
    <x v="309"/>
    <x v="4"/>
  </r>
  <r>
    <x v="0"/>
    <x v="60"/>
    <x v="60"/>
    <x v="40"/>
    <x v="40"/>
    <x v="40"/>
    <x v="16"/>
    <x v="286"/>
    <x v="345"/>
    <x v="52"/>
    <x v="51"/>
    <x v="117"/>
    <x v="501"/>
    <x v="4"/>
  </r>
  <r>
    <x v="0"/>
    <x v="60"/>
    <x v="60"/>
    <x v="46"/>
    <x v="46"/>
    <x v="46"/>
    <x v="16"/>
    <x v="286"/>
    <x v="345"/>
    <x v="52"/>
    <x v="51"/>
    <x v="117"/>
    <x v="501"/>
    <x v="4"/>
  </r>
  <r>
    <x v="0"/>
    <x v="60"/>
    <x v="60"/>
    <x v="60"/>
    <x v="60"/>
    <x v="60"/>
    <x v="18"/>
    <x v="287"/>
    <x v="586"/>
    <x v="52"/>
    <x v="51"/>
    <x v="185"/>
    <x v="329"/>
    <x v="4"/>
  </r>
  <r>
    <x v="0"/>
    <x v="60"/>
    <x v="60"/>
    <x v="26"/>
    <x v="26"/>
    <x v="26"/>
    <x v="18"/>
    <x v="287"/>
    <x v="586"/>
    <x v="54"/>
    <x v="138"/>
    <x v="201"/>
    <x v="309"/>
    <x v="4"/>
  </r>
  <r>
    <x v="0"/>
    <x v="60"/>
    <x v="60"/>
    <x v="22"/>
    <x v="22"/>
    <x v="22"/>
    <x v="18"/>
    <x v="287"/>
    <x v="586"/>
    <x v="52"/>
    <x v="51"/>
    <x v="185"/>
    <x v="329"/>
    <x v="4"/>
  </r>
  <r>
    <x v="0"/>
    <x v="60"/>
    <x v="60"/>
    <x v="30"/>
    <x v="30"/>
    <x v="30"/>
    <x v="18"/>
    <x v="287"/>
    <x v="586"/>
    <x v="52"/>
    <x v="51"/>
    <x v="201"/>
    <x v="309"/>
    <x v="7"/>
  </r>
  <r>
    <x v="0"/>
    <x v="60"/>
    <x v="60"/>
    <x v="19"/>
    <x v="19"/>
    <x v="19"/>
    <x v="18"/>
    <x v="287"/>
    <x v="586"/>
    <x v="52"/>
    <x v="51"/>
    <x v="185"/>
    <x v="329"/>
    <x v="4"/>
  </r>
  <r>
    <x v="0"/>
    <x v="60"/>
    <x v="60"/>
    <x v="11"/>
    <x v="11"/>
    <x v="11"/>
    <x v="18"/>
    <x v="287"/>
    <x v="586"/>
    <x v="53"/>
    <x v="186"/>
    <x v="200"/>
    <x v="500"/>
    <x v="4"/>
  </r>
  <r>
    <x v="0"/>
    <x v="60"/>
    <x v="60"/>
    <x v="2"/>
    <x v="2"/>
    <x v="2"/>
    <x v="18"/>
    <x v="287"/>
    <x v="586"/>
    <x v="52"/>
    <x v="51"/>
    <x v="185"/>
    <x v="329"/>
    <x v="4"/>
  </r>
  <r>
    <x v="0"/>
    <x v="60"/>
    <x v="60"/>
    <x v="10"/>
    <x v="10"/>
    <x v="10"/>
    <x v="18"/>
    <x v="287"/>
    <x v="586"/>
    <x v="54"/>
    <x v="138"/>
    <x v="201"/>
    <x v="309"/>
    <x v="4"/>
  </r>
  <r>
    <x v="0"/>
    <x v="60"/>
    <x v="60"/>
    <x v="12"/>
    <x v="12"/>
    <x v="12"/>
    <x v="18"/>
    <x v="287"/>
    <x v="586"/>
    <x v="53"/>
    <x v="186"/>
    <x v="200"/>
    <x v="500"/>
    <x v="4"/>
  </r>
  <r>
    <x v="0"/>
    <x v="60"/>
    <x v="60"/>
    <x v="16"/>
    <x v="16"/>
    <x v="16"/>
    <x v="18"/>
    <x v="287"/>
    <x v="586"/>
    <x v="53"/>
    <x v="186"/>
    <x v="200"/>
    <x v="500"/>
    <x v="4"/>
  </r>
  <r>
    <x v="0"/>
    <x v="60"/>
    <x v="60"/>
    <x v="61"/>
    <x v="61"/>
    <x v="61"/>
    <x v="18"/>
    <x v="287"/>
    <x v="586"/>
    <x v="53"/>
    <x v="186"/>
    <x v="200"/>
    <x v="500"/>
    <x v="4"/>
  </r>
  <r>
    <x v="0"/>
    <x v="60"/>
    <x v="60"/>
    <x v="21"/>
    <x v="21"/>
    <x v="21"/>
    <x v="18"/>
    <x v="287"/>
    <x v="586"/>
    <x v="52"/>
    <x v="51"/>
    <x v="185"/>
    <x v="329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9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2"/>
  </r>
  <r>
    <x v="0"/>
    <x v="0"/>
    <x v="0"/>
    <x v="4"/>
    <x v="4"/>
    <x v="4"/>
    <x v="4"/>
    <x v="4"/>
    <x v="4"/>
    <x v="4"/>
    <x v="4"/>
    <x v="4"/>
    <x v="4"/>
    <x v="2"/>
  </r>
  <r>
    <x v="0"/>
    <x v="0"/>
    <x v="0"/>
    <x v="5"/>
    <x v="5"/>
    <x v="5"/>
    <x v="5"/>
    <x v="5"/>
    <x v="5"/>
    <x v="5"/>
    <x v="5"/>
    <x v="5"/>
    <x v="5"/>
    <x v="2"/>
  </r>
  <r>
    <x v="0"/>
    <x v="0"/>
    <x v="0"/>
    <x v="6"/>
    <x v="6"/>
    <x v="6"/>
    <x v="6"/>
    <x v="6"/>
    <x v="6"/>
    <x v="6"/>
    <x v="6"/>
    <x v="6"/>
    <x v="3"/>
    <x v="3"/>
  </r>
  <r>
    <x v="0"/>
    <x v="0"/>
    <x v="0"/>
    <x v="7"/>
    <x v="7"/>
    <x v="7"/>
    <x v="7"/>
    <x v="7"/>
    <x v="7"/>
    <x v="7"/>
    <x v="7"/>
    <x v="7"/>
    <x v="6"/>
    <x v="1"/>
  </r>
  <r>
    <x v="0"/>
    <x v="0"/>
    <x v="0"/>
    <x v="8"/>
    <x v="8"/>
    <x v="8"/>
    <x v="8"/>
    <x v="8"/>
    <x v="8"/>
    <x v="8"/>
    <x v="8"/>
    <x v="8"/>
    <x v="7"/>
    <x v="2"/>
  </r>
  <r>
    <x v="0"/>
    <x v="0"/>
    <x v="0"/>
    <x v="9"/>
    <x v="9"/>
    <x v="9"/>
    <x v="9"/>
    <x v="9"/>
    <x v="9"/>
    <x v="9"/>
    <x v="9"/>
    <x v="9"/>
    <x v="8"/>
    <x v="2"/>
  </r>
  <r>
    <x v="0"/>
    <x v="0"/>
    <x v="0"/>
    <x v="10"/>
    <x v="10"/>
    <x v="10"/>
    <x v="10"/>
    <x v="10"/>
    <x v="10"/>
    <x v="10"/>
    <x v="10"/>
    <x v="10"/>
    <x v="9"/>
    <x v="2"/>
  </r>
  <r>
    <x v="0"/>
    <x v="0"/>
    <x v="0"/>
    <x v="11"/>
    <x v="11"/>
    <x v="11"/>
    <x v="11"/>
    <x v="11"/>
    <x v="11"/>
    <x v="11"/>
    <x v="11"/>
    <x v="11"/>
    <x v="10"/>
    <x v="2"/>
  </r>
  <r>
    <x v="0"/>
    <x v="0"/>
    <x v="0"/>
    <x v="12"/>
    <x v="12"/>
    <x v="12"/>
    <x v="12"/>
    <x v="12"/>
    <x v="12"/>
    <x v="12"/>
    <x v="12"/>
    <x v="12"/>
    <x v="11"/>
    <x v="2"/>
  </r>
  <r>
    <x v="0"/>
    <x v="0"/>
    <x v="0"/>
    <x v="13"/>
    <x v="13"/>
    <x v="13"/>
    <x v="13"/>
    <x v="13"/>
    <x v="12"/>
    <x v="13"/>
    <x v="13"/>
    <x v="13"/>
    <x v="12"/>
    <x v="2"/>
  </r>
  <r>
    <x v="0"/>
    <x v="0"/>
    <x v="0"/>
    <x v="14"/>
    <x v="14"/>
    <x v="14"/>
    <x v="14"/>
    <x v="14"/>
    <x v="13"/>
    <x v="14"/>
    <x v="14"/>
    <x v="14"/>
    <x v="13"/>
    <x v="1"/>
  </r>
  <r>
    <x v="0"/>
    <x v="0"/>
    <x v="0"/>
    <x v="15"/>
    <x v="15"/>
    <x v="15"/>
    <x v="15"/>
    <x v="15"/>
    <x v="14"/>
    <x v="15"/>
    <x v="15"/>
    <x v="15"/>
    <x v="14"/>
    <x v="4"/>
  </r>
  <r>
    <x v="0"/>
    <x v="0"/>
    <x v="0"/>
    <x v="16"/>
    <x v="16"/>
    <x v="16"/>
    <x v="16"/>
    <x v="16"/>
    <x v="15"/>
    <x v="16"/>
    <x v="16"/>
    <x v="16"/>
    <x v="15"/>
    <x v="0"/>
  </r>
  <r>
    <x v="0"/>
    <x v="0"/>
    <x v="0"/>
    <x v="17"/>
    <x v="17"/>
    <x v="17"/>
    <x v="17"/>
    <x v="17"/>
    <x v="16"/>
    <x v="17"/>
    <x v="17"/>
    <x v="17"/>
    <x v="16"/>
    <x v="0"/>
  </r>
  <r>
    <x v="0"/>
    <x v="0"/>
    <x v="0"/>
    <x v="18"/>
    <x v="18"/>
    <x v="18"/>
    <x v="18"/>
    <x v="18"/>
    <x v="17"/>
    <x v="18"/>
    <x v="18"/>
    <x v="18"/>
    <x v="17"/>
    <x v="5"/>
  </r>
  <r>
    <x v="0"/>
    <x v="0"/>
    <x v="0"/>
    <x v="19"/>
    <x v="19"/>
    <x v="19"/>
    <x v="19"/>
    <x v="19"/>
    <x v="18"/>
    <x v="19"/>
    <x v="19"/>
    <x v="19"/>
    <x v="18"/>
    <x v="2"/>
  </r>
  <r>
    <x v="0"/>
    <x v="1"/>
    <x v="1"/>
    <x v="1"/>
    <x v="1"/>
    <x v="1"/>
    <x v="0"/>
    <x v="20"/>
    <x v="19"/>
    <x v="20"/>
    <x v="20"/>
    <x v="20"/>
    <x v="19"/>
    <x v="2"/>
  </r>
  <r>
    <x v="0"/>
    <x v="1"/>
    <x v="1"/>
    <x v="0"/>
    <x v="0"/>
    <x v="0"/>
    <x v="1"/>
    <x v="21"/>
    <x v="20"/>
    <x v="21"/>
    <x v="21"/>
    <x v="21"/>
    <x v="20"/>
    <x v="2"/>
  </r>
  <r>
    <x v="0"/>
    <x v="1"/>
    <x v="1"/>
    <x v="2"/>
    <x v="2"/>
    <x v="2"/>
    <x v="2"/>
    <x v="22"/>
    <x v="21"/>
    <x v="22"/>
    <x v="22"/>
    <x v="22"/>
    <x v="21"/>
    <x v="2"/>
  </r>
  <r>
    <x v="0"/>
    <x v="1"/>
    <x v="1"/>
    <x v="5"/>
    <x v="5"/>
    <x v="5"/>
    <x v="3"/>
    <x v="23"/>
    <x v="22"/>
    <x v="23"/>
    <x v="23"/>
    <x v="23"/>
    <x v="22"/>
    <x v="2"/>
  </r>
  <r>
    <x v="0"/>
    <x v="1"/>
    <x v="1"/>
    <x v="3"/>
    <x v="3"/>
    <x v="3"/>
    <x v="4"/>
    <x v="24"/>
    <x v="23"/>
    <x v="24"/>
    <x v="24"/>
    <x v="24"/>
    <x v="23"/>
    <x v="2"/>
  </r>
  <r>
    <x v="0"/>
    <x v="1"/>
    <x v="1"/>
    <x v="6"/>
    <x v="6"/>
    <x v="6"/>
    <x v="5"/>
    <x v="25"/>
    <x v="24"/>
    <x v="25"/>
    <x v="25"/>
    <x v="24"/>
    <x v="23"/>
    <x v="0"/>
  </r>
  <r>
    <x v="0"/>
    <x v="1"/>
    <x v="1"/>
    <x v="4"/>
    <x v="4"/>
    <x v="4"/>
    <x v="6"/>
    <x v="26"/>
    <x v="25"/>
    <x v="9"/>
    <x v="26"/>
    <x v="25"/>
    <x v="24"/>
    <x v="2"/>
  </r>
  <r>
    <x v="0"/>
    <x v="1"/>
    <x v="1"/>
    <x v="18"/>
    <x v="18"/>
    <x v="18"/>
    <x v="7"/>
    <x v="27"/>
    <x v="26"/>
    <x v="26"/>
    <x v="27"/>
    <x v="26"/>
    <x v="25"/>
    <x v="2"/>
  </r>
  <r>
    <x v="0"/>
    <x v="1"/>
    <x v="1"/>
    <x v="16"/>
    <x v="16"/>
    <x v="16"/>
    <x v="8"/>
    <x v="28"/>
    <x v="27"/>
    <x v="15"/>
    <x v="28"/>
    <x v="27"/>
    <x v="26"/>
    <x v="2"/>
  </r>
  <r>
    <x v="0"/>
    <x v="1"/>
    <x v="1"/>
    <x v="9"/>
    <x v="9"/>
    <x v="9"/>
    <x v="9"/>
    <x v="29"/>
    <x v="28"/>
    <x v="27"/>
    <x v="29"/>
    <x v="28"/>
    <x v="27"/>
    <x v="2"/>
  </r>
  <r>
    <x v="0"/>
    <x v="1"/>
    <x v="1"/>
    <x v="7"/>
    <x v="7"/>
    <x v="7"/>
    <x v="10"/>
    <x v="30"/>
    <x v="29"/>
    <x v="28"/>
    <x v="30"/>
    <x v="29"/>
    <x v="28"/>
    <x v="0"/>
  </r>
  <r>
    <x v="0"/>
    <x v="1"/>
    <x v="1"/>
    <x v="8"/>
    <x v="8"/>
    <x v="8"/>
    <x v="11"/>
    <x v="31"/>
    <x v="30"/>
    <x v="29"/>
    <x v="31"/>
    <x v="30"/>
    <x v="29"/>
    <x v="2"/>
  </r>
  <r>
    <x v="0"/>
    <x v="1"/>
    <x v="1"/>
    <x v="15"/>
    <x v="15"/>
    <x v="15"/>
    <x v="12"/>
    <x v="32"/>
    <x v="31"/>
    <x v="30"/>
    <x v="32"/>
    <x v="31"/>
    <x v="30"/>
    <x v="1"/>
  </r>
  <r>
    <x v="0"/>
    <x v="1"/>
    <x v="1"/>
    <x v="19"/>
    <x v="19"/>
    <x v="19"/>
    <x v="13"/>
    <x v="33"/>
    <x v="11"/>
    <x v="31"/>
    <x v="33"/>
    <x v="32"/>
    <x v="7"/>
    <x v="2"/>
  </r>
  <r>
    <x v="0"/>
    <x v="1"/>
    <x v="1"/>
    <x v="20"/>
    <x v="20"/>
    <x v="20"/>
    <x v="14"/>
    <x v="34"/>
    <x v="32"/>
    <x v="32"/>
    <x v="34"/>
    <x v="33"/>
    <x v="31"/>
    <x v="2"/>
  </r>
  <r>
    <x v="0"/>
    <x v="1"/>
    <x v="1"/>
    <x v="10"/>
    <x v="10"/>
    <x v="10"/>
    <x v="15"/>
    <x v="35"/>
    <x v="32"/>
    <x v="33"/>
    <x v="35"/>
    <x v="34"/>
    <x v="32"/>
    <x v="2"/>
  </r>
  <r>
    <x v="0"/>
    <x v="1"/>
    <x v="1"/>
    <x v="21"/>
    <x v="21"/>
    <x v="21"/>
    <x v="16"/>
    <x v="36"/>
    <x v="33"/>
    <x v="34"/>
    <x v="36"/>
    <x v="35"/>
    <x v="33"/>
    <x v="2"/>
  </r>
  <r>
    <x v="0"/>
    <x v="1"/>
    <x v="1"/>
    <x v="12"/>
    <x v="12"/>
    <x v="12"/>
    <x v="17"/>
    <x v="37"/>
    <x v="15"/>
    <x v="35"/>
    <x v="37"/>
    <x v="36"/>
    <x v="34"/>
    <x v="2"/>
  </r>
  <r>
    <x v="0"/>
    <x v="1"/>
    <x v="1"/>
    <x v="14"/>
    <x v="14"/>
    <x v="14"/>
    <x v="18"/>
    <x v="38"/>
    <x v="34"/>
    <x v="36"/>
    <x v="38"/>
    <x v="37"/>
    <x v="12"/>
    <x v="2"/>
  </r>
  <r>
    <x v="0"/>
    <x v="1"/>
    <x v="1"/>
    <x v="22"/>
    <x v="22"/>
    <x v="22"/>
    <x v="19"/>
    <x v="39"/>
    <x v="35"/>
    <x v="37"/>
    <x v="39"/>
    <x v="38"/>
    <x v="35"/>
    <x v="2"/>
  </r>
  <r>
    <x v="0"/>
    <x v="2"/>
    <x v="2"/>
    <x v="1"/>
    <x v="1"/>
    <x v="1"/>
    <x v="0"/>
    <x v="40"/>
    <x v="36"/>
    <x v="38"/>
    <x v="40"/>
    <x v="39"/>
    <x v="36"/>
    <x v="2"/>
  </r>
  <r>
    <x v="0"/>
    <x v="2"/>
    <x v="2"/>
    <x v="0"/>
    <x v="0"/>
    <x v="0"/>
    <x v="1"/>
    <x v="41"/>
    <x v="37"/>
    <x v="39"/>
    <x v="41"/>
    <x v="40"/>
    <x v="37"/>
    <x v="2"/>
  </r>
  <r>
    <x v="0"/>
    <x v="2"/>
    <x v="2"/>
    <x v="3"/>
    <x v="3"/>
    <x v="3"/>
    <x v="2"/>
    <x v="42"/>
    <x v="38"/>
    <x v="40"/>
    <x v="42"/>
    <x v="41"/>
    <x v="38"/>
    <x v="2"/>
  </r>
  <r>
    <x v="0"/>
    <x v="2"/>
    <x v="2"/>
    <x v="2"/>
    <x v="2"/>
    <x v="2"/>
    <x v="3"/>
    <x v="43"/>
    <x v="39"/>
    <x v="41"/>
    <x v="43"/>
    <x v="42"/>
    <x v="39"/>
    <x v="2"/>
  </r>
  <r>
    <x v="0"/>
    <x v="2"/>
    <x v="2"/>
    <x v="18"/>
    <x v="18"/>
    <x v="18"/>
    <x v="4"/>
    <x v="44"/>
    <x v="40"/>
    <x v="42"/>
    <x v="44"/>
    <x v="43"/>
    <x v="40"/>
    <x v="2"/>
  </r>
  <r>
    <x v="0"/>
    <x v="2"/>
    <x v="2"/>
    <x v="4"/>
    <x v="4"/>
    <x v="4"/>
    <x v="5"/>
    <x v="45"/>
    <x v="22"/>
    <x v="43"/>
    <x v="45"/>
    <x v="44"/>
    <x v="41"/>
    <x v="2"/>
  </r>
  <r>
    <x v="0"/>
    <x v="2"/>
    <x v="2"/>
    <x v="16"/>
    <x v="16"/>
    <x v="16"/>
    <x v="6"/>
    <x v="46"/>
    <x v="41"/>
    <x v="44"/>
    <x v="46"/>
    <x v="45"/>
    <x v="42"/>
    <x v="2"/>
  </r>
  <r>
    <x v="0"/>
    <x v="2"/>
    <x v="2"/>
    <x v="23"/>
    <x v="23"/>
    <x v="23"/>
    <x v="7"/>
    <x v="47"/>
    <x v="42"/>
    <x v="28"/>
    <x v="47"/>
    <x v="46"/>
    <x v="43"/>
    <x v="2"/>
  </r>
  <r>
    <x v="0"/>
    <x v="2"/>
    <x v="2"/>
    <x v="5"/>
    <x v="5"/>
    <x v="5"/>
    <x v="8"/>
    <x v="48"/>
    <x v="6"/>
    <x v="45"/>
    <x v="48"/>
    <x v="47"/>
    <x v="44"/>
    <x v="2"/>
  </r>
  <r>
    <x v="0"/>
    <x v="2"/>
    <x v="2"/>
    <x v="7"/>
    <x v="7"/>
    <x v="7"/>
    <x v="9"/>
    <x v="49"/>
    <x v="43"/>
    <x v="46"/>
    <x v="49"/>
    <x v="48"/>
    <x v="45"/>
    <x v="0"/>
  </r>
  <r>
    <x v="0"/>
    <x v="2"/>
    <x v="2"/>
    <x v="15"/>
    <x v="15"/>
    <x v="15"/>
    <x v="10"/>
    <x v="50"/>
    <x v="44"/>
    <x v="30"/>
    <x v="50"/>
    <x v="49"/>
    <x v="14"/>
    <x v="0"/>
  </r>
  <r>
    <x v="0"/>
    <x v="2"/>
    <x v="2"/>
    <x v="6"/>
    <x v="6"/>
    <x v="6"/>
    <x v="11"/>
    <x v="51"/>
    <x v="45"/>
    <x v="47"/>
    <x v="51"/>
    <x v="50"/>
    <x v="46"/>
    <x v="2"/>
  </r>
  <r>
    <x v="0"/>
    <x v="2"/>
    <x v="2"/>
    <x v="10"/>
    <x v="10"/>
    <x v="10"/>
    <x v="12"/>
    <x v="52"/>
    <x v="46"/>
    <x v="48"/>
    <x v="52"/>
    <x v="51"/>
    <x v="15"/>
    <x v="2"/>
  </r>
  <r>
    <x v="0"/>
    <x v="2"/>
    <x v="2"/>
    <x v="24"/>
    <x v="24"/>
    <x v="24"/>
    <x v="12"/>
    <x v="52"/>
    <x v="46"/>
    <x v="49"/>
    <x v="53"/>
    <x v="52"/>
    <x v="47"/>
    <x v="2"/>
  </r>
  <r>
    <x v="0"/>
    <x v="2"/>
    <x v="2"/>
    <x v="14"/>
    <x v="14"/>
    <x v="14"/>
    <x v="14"/>
    <x v="53"/>
    <x v="47"/>
    <x v="49"/>
    <x v="53"/>
    <x v="53"/>
    <x v="48"/>
    <x v="2"/>
  </r>
  <r>
    <x v="0"/>
    <x v="2"/>
    <x v="2"/>
    <x v="22"/>
    <x v="22"/>
    <x v="22"/>
    <x v="14"/>
    <x v="53"/>
    <x v="47"/>
    <x v="50"/>
    <x v="54"/>
    <x v="22"/>
    <x v="34"/>
    <x v="2"/>
  </r>
  <r>
    <x v="0"/>
    <x v="2"/>
    <x v="2"/>
    <x v="20"/>
    <x v="20"/>
    <x v="20"/>
    <x v="16"/>
    <x v="54"/>
    <x v="16"/>
    <x v="51"/>
    <x v="55"/>
    <x v="54"/>
    <x v="49"/>
    <x v="2"/>
  </r>
  <r>
    <x v="0"/>
    <x v="2"/>
    <x v="2"/>
    <x v="9"/>
    <x v="9"/>
    <x v="9"/>
    <x v="17"/>
    <x v="55"/>
    <x v="48"/>
    <x v="48"/>
    <x v="52"/>
    <x v="55"/>
    <x v="18"/>
    <x v="2"/>
  </r>
  <r>
    <x v="0"/>
    <x v="2"/>
    <x v="2"/>
    <x v="8"/>
    <x v="8"/>
    <x v="8"/>
    <x v="18"/>
    <x v="56"/>
    <x v="49"/>
    <x v="52"/>
    <x v="56"/>
    <x v="56"/>
    <x v="50"/>
    <x v="2"/>
  </r>
  <r>
    <x v="0"/>
    <x v="2"/>
    <x v="2"/>
    <x v="25"/>
    <x v="25"/>
    <x v="25"/>
    <x v="19"/>
    <x v="57"/>
    <x v="50"/>
    <x v="53"/>
    <x v="57"/>
    <x v="57"/>
    <x v="51"/>
    <x v="2"/>
  </r>
  <r>
    <x v="0"/>
    <x v="2"/>
    <x v="2"/>
    <x v="21"/>
    <x v="21"/>
    <x v="21"/>
    <x v="19"/>
    <x v="57"/>
    <x v="50"/>
    <x v="54"/>
    <x v="58"/>
    <x v="58"/>
    <x v="52"/>
    <x v="2"/>
  </r>
  <r>
    <x v="0"/>
    <x v="3"/>
    <x v="3"/>
    <x v="1"/>
    <x v="1"/>
    <x v="1"/>
    <x v="0"/>
    <x v="58"/>
    <x v="51"/>
    <x v="55"/>
    <x v="59"/>
    <x v="59"/>
    <x v="53"/>
    <x v="2"/>
  </r>
  <r>
    <x v="0"/>
    <x v="3"/>
    <x v="3"/>
    <x v="0"/>
    <x v="0"/>
    <x v="0"/>
    <x v="1"/>
    <x v="59"/>
    <x v="52"/>
    <x v="56"/>
    <x v="60"/>
    <x v="47"/>
    <x v="54"/>
    <x v="2"/>
  </r>
  <r>
    <x v="0"/>
    <x v="3"/>
    <x v="3"/>
    <x v="2"/>
    <x v="2"/>
    <x v="2"/>
    <x v="2"/>
    <x v="60"/>
    <x v="53"/>
    <x v="57"/>
    <x v="61"/>
    <x v="42"/>
    <x v="55"/>
    <x v="2"/>
  </r>
  <r>
    <x v="0"/>
    <x v="3"/>
    <x v="3"/>
    <x v="9"/>
    <x v="9"/>
    <x v="9"/>
    <x v="3"/>
    <x v="61"/>
    <x v="54"/>
    <x v="48"/>
    <x v="62"/>
    <x v="60"/>
    <x v="56"/>
    <x v="2"/>
  </r>
  <r>
    <x v="0"/>
    <x v="3"/>
    <x v="3"/>
    <x v="12"/>
    <x v="12"/>
    <x v="12"/>
    <x v="4"/>
    <x v="62"/>
    <x v="42"/>
    <x v="31"/>
    <x v="63"/>
    <x v="40"/>
    <x v="57"/>
    <x v="2"/>
  </r>
  <r>
    <x v="0"/>
    <x v="3"/>
    <x v="3"/>
    <x v="5"/>
    <x v="5"/>
    <x v="5"/>
    <x v="5"/>
    <x v="63"/>
    <x v="55"/>
    <x v="58"/>
    <x v="64"/>
    <x v="61"/>
    <x v="58"/>
    <x v="2"/>
  </r>
  <r>
    <x v="0"/>
    <x v="3"/>
    <x v="3"/>
    <x v="19"/>
    <x v="19"/>
    <x v="19"/>
    <x v="6"/>
    <x v="64"/>
    <x v="43"/>
    <x v="59"/>
    <x v="65"/>
    <x v="62"/>
    <x v="59"/>
    <x v="2"/>
  </r>
  <r>
    <x v="0"/>
    <x v="3"/>
    <x v="3"/>
    <x v="16"/>
    <x v="16"/>
    <x v="16"/>
    <x v="6"/>
    <x v="64"/>
    <x v="43"/>
    <x v="60"/>
    <x v="66"/>
    <x v="63"/>
    <x v="60"/>
    <x v="2"/>
  </r>
  <r>
    <x v="0"/>
    <x v="3"/>
    <x v="3"/>
    <x v="6"/>
    <x v="6"/>
    <x v="6"/>
    <x v="8"/>
    <x v="65"/>
    <x v="56"/>
    <x v="61"/>
    <x v="67"/>
    <x v="33"/>
    <x v="61"/>
    <x v="2"/>
  </r>
  <r>
    <x v="0"/>
    <x v="3"/>
    <x v="3"/>
    <x v="8"/>
    <x v="8"/>
    <x v="8"/>
    <x v="9"/>
    <x v="66"/>
    <x v="57"/>
    <x v="27"/>
    <x v="68"/>
    <x v="64"/>
    <x v="62"/>
    <x v="2"/>
  </r>
  <r>
    <x v="0"/>
    <x v="3"/>
    <x v="3"/>
    <x v="20"/>
    <x v="20"/>
    <x v="20"/>
    <x v="9"/>
    <x v="66"/>
    <x v="57"/>
    <x v="35"/>
    <x v="26"/>
    <x v="65"/>
    <x v="63"/>
    <x v="2"/>
  </r>
  <r>
    <x v="0"/>
    <x v="3"/>
    <x v="3"/>
    <x v="21"/>
    <x v="21"/>
    <x v="21"/>
    <x v="11"/>
    <x v="67"/>
    <x v="28"/>
    <x v="62"/>
    <x v="69"/>
    <x v="66"/>
    <x v="64"/>
    <x v="2"/>
  </r>
  <r>
    <x v="0"/>
    <x v="3"/>
    <x v="3"/>
    <x v="17"/>
    <x v="17"/>
    <x v="17"/>
    <x v="12"/>
    <x v="68"/>
    <x v="58"/>
    <x v="59"/>
    <x v="65"/>
    <x v="67"/>
    <x v="65"/>
    <x v="2"/>
  </r>
  <r>
    <x v="0"/>
    <x v="3"/>
    <x v="3"/>
    <x v="13"/>
    <x v="13"/>
    <x v="13"/>
    <x v="12"/>
    <x v="68"/>
    <x v="58"/>
    <x v="50"/>
    <x v="70"/>
    <x v="58"/>
    <x v="38"/>
    <x v="2"/>
  </r>
  <r>
    <x v="0"/>
    <x v="3"/>
    <x v="3"/>
    <x v="3"/>
    <x v="3"/>
    <x v="3"/>
    <x v="14"/>
    <x v="69"/>
    <x v="59"/>
    <x v="26"/>
    <x v="71"/>
    <x v="68"/>
    <x v="66"/>
    <x v="2"/>
  </r>
  <r>
    <x v="0"/>
    <x v="3"/>
    <x v="3"/>
    <x v="4"/>
    <x v="4"/>
    <x v="4"/>
    <x v="15"/>
    <x v="70"/>
    <x v="8"/>
    <x v="63"/>
    <x v="72"/>
    <x v="69"/>
    <x v="67"/>
    <x v="2"/>
  </r>
  <r>
    <x v="0"/>
    <x v="3"/>
    <x v="3"/>
    <x v="14"/>
    <x v="14"/>
    <x v="14"/>
    <x v="16"/>
    <x v="71"/>
    <x v="60"/>
    <x v="64"/>
    <x v="73"/>
    <x v="46"/>
    <x v="46"/>
    <x v="2"/>
  </r>
  <r>
    <x v="0"/>
    <x v="3"/>
    <x v="3"/>
    <x v="26"/>
    <x v="26"/>
    <x v="26"/>
    <x v="17"/>
    <x v="72"/>
    <x v="61"/>
    <x v="33"/>
    <x v="74"/>
    <x v="50"/>
    <x v="68"/>
    <x v="2"/>
  </r>
  <r>
    <x v="0"/>
    <x v="3"/>
    <x v="3"/>
    <x v="25"/>
    <x v="25"/>
    <x v="25"/>
    <x v="18"/>
    <x v="73"/>
    <x v="62"/>
    <x v="53"/>
    <x v="57"/>
    <x v="70"/>
    <x v="69"/>
    <x v="2"/>
  </r>
  <r>
    <x v="0"/>
    <x v="3"/>
    <x v="3"/>
    <x v="15"/>
    <x v="15"/>
    <x v="15"/>
    <x v="18"/>
    <x v="73"/>
    <x v="62"/>
    <x v="53"/>
    <x v="57"/>
    <x v="70"/>
    <x v="69"/>
    <x v="2"/>
  </r>
  <r>
    <x v="0"/>
    <x v="4"/>
    <x v="4"/>
    <x v="1"/>
    <x v="1"/>
    <x v="1"/>
    <x v="0"/>
    <x v="74"/>
    <x v="63"/>
    <x v="65"/>
    <x v="75"/>
    <x v="71"/>
    <x v="70"/>
    <x v="2"/>
  </r>
  <r>
    <x v="0"/>
    <x v="4"/>
    <x v="4"/>
    <x v="0"/>
    <x v="0"/>
    <x v="0"/>
    <x v="1"/>
    <x v="75"/>
    <x v="64"/>
    <x v="66"/>
    <x v="76"/>
    <x v="72"/>
    <x v="34"/>
    <x v="2"/>
  </r>
  <r>
    <x v="0"/>
    <x v="4"/>
    <x v="4"/>
    <x v="5"/>
    <x v="5"/>
    <x v="5"/>
    <x v="2"/>
    <x v="76"/>
    <x v="65"/>
    <x v="67"/>
    <x v="77"/>
    <x v="73"/>
    <x v="71"/>
    <x v="2"/>
  </r>
  <r>
    <x v="0"/>
    <x v="4"/>
    <x v="4"/>
    <x v="2"/>
    <x v="2"/>
    <x v="2"/>
    <x v="3"/>
    <x v="55"/>
    <x v="38"/>
    <x v="68"/>
    <x v="78"/>
    <x v="74"/>
    <x v="72"/>
    <x v="2"/>
  </r>
  <r>
    <x v="0"/>
    <x v="4"/>
    <x v="4"/>
    <x v="15"/>
    <x v="15"/>
    <x v="15"/>
    <x v="4"/>
    <x v="77"/>
    <x v="66"/>
    <x v="53"/>
    <x v="57"/>
    <x v="75"/>
    <x v="73"/>
    <x v="2"/>
  </r>
  <r>
    <x v="0"/>
    <x v="4"/>
    <x v="4"/>
    <x v="3"/>
    <x v="3"/>
    <x v="3"/>
    <x v="4"/>
    <x v="77"/>
    <x v="66"/>
    <x v="15"/>
    <x v="79"/>
    <x v="46"/>
    <x v="46"/>
    <x v="2"/>
  </r>
  <r>
    <x v="0"/>
    <x v="4"/>
    <x v="4"/>
    <x v="6"/>
    <x v="6"/>
    <x v="6"/>
    <x v="4"/>
    <x v="77"/>
    <x v="66"/>
    <x v="69"/>
    <x v="80"/>
    <x v="76"/>
    <x v="74"/>
    <x v="2"/>
  </r>
  <r>
    <x v="0"/>
    <x v="4"/>
    <x v="4"/>
    <x v="4"/>
    <x v="4"/>
    <x v="4"/>
    <x v="7"/>
    <x v="64"/>
    <x v="67"/>
    <x v="35"/>
    <x v="81"/>
    <x v="61"/>
    <x v="58"/>
    <x v="2"/>
  </r>
  <r>
    <x v="0"/>
    <x v="4"/>
    <x v="4"/>
    <x v="9"/>
    <x v="9"/>
    <x v="9"/>
    <x v="8"/>
    <x v="78"/>
    <x v="43"/>
    <x v="48"/>
    <x v="82"/>
    <x v="40"/>
    <x v="75"/>
    <x v="2"/>
  </r>
  <r>
    <x v="0"/>
    <x v="4"/>
    <x v="4"/>
    <x v="18"/>
    <x v="18"/>
    <x v="18"/>
    <x v="9"/>
    <x v="66"/>
    <x v="26"/>
    <x v="33"/>
    <x v="83"/>
    <x v="77"/>
    <x v="25"/>
    <x v="2"/>
  </r>
  <r>
    <x v="0"/>
    <x v="4"/>
    <x v="4"/>
    <x v="20"/>
    <x v="20"/>
    <x v="20"/>
    <x v="10"/>
    <x v="70"/>
    <x v="68"/>
    <x v="15"/>
    <x v="79"/>
    <x v="54"/>
    <x v="76"/>
    <x v="2"/>
  </r>
  <r>
    <x v="0"/>
    <x v="4"/>
    <x v="4"/>
    <x v="16"/>
    <x v="16"/>
    <x v="16"/>
    <x v="11"/>
    <x v="79"/>
    <x v="69"/>
    <x v="52"/>
    <x v="84"/>
    <x v="70"/>
    <x v="69"/>
    <x v="2"/>
  </r>
  <r>
    <x v="0"/>
    <x v="4"/>
    <x v="4"/>
    <x v="7"/>
    <x v="7"/>
    <x v="7"/>
    <x v="12"/>
    <x v="80"/>
    <x v="46"/>
    <x v="60"/>
    <x v="85"/>
    <x v="47"/>
    <x v="54"/>
    <x v="2"/>
  </r>
  <r>
    <x v="0"/>
    <x v="4"/>
    <x v="4"/>
    <x v="21"/>
    <x v="21"/>
    <x v="21"/>
    <x v="12"/>
    <x v="80"/>
    <x v="46"/>
    <x v="70"/>
    <x v="86"/>
    <x v="78"/>
    <x v="77"/>
    <x v="2"/>
  </r>
  <r>
    <x v="0"/>
    <x v="4"/>
    <x v="4"/>
    <x v="12"/>
    <x v="12"/>
    <x v="12"/>
    <x v="14"/>
    <x v="81"/>
    <x v="47"/>
    <x v="30"/>
    <x v="87"/>
    <x v="44"/>
    <x v="78"/>
    <x v="2"/>
  </r>
  <r>
    <x v="0"/>
    <x v="4"/>
    <x v="4"/>
    <x v="22"/>
    <x v="22"/>
    <x v="22"/>
    <x v="14"/>
    <x v="81"/>
    <x v="47"/>
    <x v="52"/>
    <x v="84"/>
    <x v="79"/>
    <x v="79"/>
    <x v="2"/>
  </r>
  <r>
    <x v="0"/>
    <x v="4"/>
    <x v="4"/>
    <x v="25"/>
    <x v="25"/>
    <x v="25"/>
    <x v="14"/>
    <x v="81"/>
    <x v="47"/>
    <x v="30"/>
    <x v="87"/>
    <x v="44"/>
    <x v="78"/>
    <x v="2"/>
  </r>
  <r>
    <x v="0"/>
    <x v="4"/>
    <x v="4"/>
    <x v="19"/>
    <x v="19"/>
    <x v="19"/>
    <x v="17"/>
    <x v="82"/>
    <x v="70"/>
    <x v="59"/>
    <x v="33"/>
    <x v="50"/>
    <x v="68"/>
    <x v="2"/>
  </r>
  <r>
    <x v="0"/>
    <x v="4"/>
    <x v="4"/>
    <x v="10"/>
    <x v="10"/>
    <x v="10"/>
    <x v="18"/>
    <x v="83"/>
    <x v="18"/>
    <x v="59"/>
    <x v="33"/>
    <x v="79"/>
    <x v="79"/>
    <x v="2"/>
  </r>
  <r>
    <x v="0"/>
    <x v="4"/>
    <x v="4"/>
    <x v="14"/>
    <x v="14"/>
    <x v="14"/>
    <x v="18"/>
    <x v="83"/>
    <x v="18"/>
    <x v="70"/>
    <x v="86"/>
    <x v="46"/>
    <x v="46"/>
    <x v="2"/>
  </r>
  <r>
    <x v="0"/>
    <x v="5"/>
    <x v="5"/>
    <x v="0"/>
    <x v="0"/>
    <x v="0"/>
    <x v="0"/>
    <x v="84"/>
    <x v="71"/>
    <x v="71"/>
    <x v="88"/>
    <x v="78"/>
    <x v="80"/>
    <x v="2"/>
  </r>
  <r>
    <x v="0"/>
    <x v="5"/>
    <x v="5"/>
    <x v="2"/>
    <x v="2"/>
    <x v="2"/>
    <x v="1"/>
    <x v="85"/>
    <x v="72"/>
    <x v="36"/>
    <x v="89"/>
    <x v="74"/>
    <x v="81"/>
    <x v="2"/>
  </r>
  <r>
    <x v="0"/>
    <x v="5"/>
    <x v="5"/>
    <x v="9"/>
    <x v="9"/>
    <x v="9"/>
    <x v="2"/>
    <x v="86"/>
    <x v="73"/>
    <x v="48"/>
    <x v="90"/>
    <x v="23"/>
    <x v="36"/>
    <x v="2"/>
  </r>
  <r>
    <x v="0"/>
    <x v="5"/>
    <x v="5"/>
    <x v="8"/>
    <x v="8"/>
    <x v="8"/>
    <x v="3"/>
    <x v="87"/>
    <x v="74"/>
    <x v="52"/>
    <x v="19"/>
    <x v="80"/>
    <x v="82"/>
    <x v="2"/>
  </r>
  <r>
    <x v="0"/>
    <x v="5"/>
    <x v="5"/>
    <x v="1"/>
    <x v="1"/>
    <x v="1"/>
    <x v="4"/>
    <x v="88"/>
    <x v="75"/>
    <x v="30"/>
    <x v="91"/>
    <x v="81"/>
    <x v="83"/>
    <x v="2"/>
  </r>
  <r>
    <x v="0"/>
    <x v="5"/>
    <x v="5"/>
    <x v="10"/>
    <x v="10"/>
    <x v="10"/>
    <x v="5"/>
    <x v="89"/>
    <x v="76"/>
    <x v="59"/>
    <x v="92"/>
    <x v="81"/>
    <x v="83"/>
    <x v="2"/>
  </r>
  <r>
    <x v="0"/>
    <x v="5"/>
    <x v="5"/>
    <x v="19"/>
    <x v="19"/>
    <x v="19"/>
    <x v="5"/>
    <x v="89"/>
    <x v="76"/>
    <x v="48"/>
    <x v="90"/>
    <x v="22"/>
    <x v="84"/>
    <x v="2"/>
  </r>
  <r>
    <x v="0"/>
    <x v="5"/>
    <x v="5"/>
    <x v="12"/>
    <x v="12"/>
    <x v="12"/>
    <x v="7"/>
    <x v="90"/>
    <x v="77"/>
    <x v="72"/>
    <x v="93"/>
    <x v="53"/>
    <x v="85"/>
    <x v="2"/>
  </r>
  <r>
    <x v="0"/>
    <x v="5"/>
    <x v="5"/>
    <x v="4"/>
    <x v="4"/>
    <x v="4"/>
    <x v="8"/>
    <x v="91"/>
    <x v="54"/>
    <x v="46"/>
    <x v="94"/>
    <x v="82"/>
    <x v="86"/>
    <x v="2"/>
  </r>
  <r>
    <x v="0"/>
    <x v="5"/>
    <x v="5"/>
    <x v="13"/>
    <x v="13"/>
    <x v="13"/>
    <x v="9"/>
    <x v="62"/>
    <x v="78"/>
    <x v="62"/>
    <x v="95"/>
    <x v="44"/>
    <x v="87"/>
    <x v="2"/>
  </r>
  <r>
    <x v="0"/>
    <x v="5"/>
    <x v="5"/>
    <x v="3"/>
    <x v="3"/>
    <x v="3"/>
    <x v="10"/>
    <x v="77"/>
    <x v="79"/>
    <x v="73"/>
    <x v="96"/>
    <x v="78"/>
    <x v="80"/>
    <x v="2"/>
  </r>
  <r>
    <x v="0"/>
    <x v="5"/>
    <x v="5"/>
    <x v="26"/>
    <x v="26"/>
    <x v="26"/>
    <x v="11"/>
    <x v="78"/>
    <x v="80"/>
    <x v="33"/>
    <x v="97"/>
    <x v="83"/>
    <x v="88"/>
    <x v="2"/>
  </r>
  <r>
    <x v="0"/>
    <x v="5"/>
    <x v="5"/>
    <x v="5"/>
    <x v="5"/>
    <x v="5"/>
    <x v="12"/>
    <x v="65"/>
    <x v="81"/>
    <x v="74"/>
    <x v="98"/>
    <x v="74"/>
    <x v="81"/>
    <x v="2"/>
  </r>
  <r>
    <x v="0"/>
    <x v="5"/>
    <x v="5"/>
    <x v="7"/>
    <x v="7"/>
    <x v="7"/>
    <x v="13"/>
    <x v="69"/>
    <x v="68"/>
    <x v="70"/>
    <x v="99"/>
    <x v="84"/>
    <x v="20"/>
    <x v="2"/>
  </r>
  <r>
    <x v="0"/>
    <x v="5"/>
    <x v="5"/>
    <x v="17"/>
    <x v="17"/>
    <x v="17"/>
    <x v="14"/>
    <x v="92"/>
    <x v="9"/>
    <x v="53"/>
    <x v="57"/>
    <x v="85"/>
    <x v="89"/>
    <x v="2"/>
  </r>
  <r>
    <x v="0"/>
    <x v="5"/>
    <x v="5"/>
    <x v="27"/>
    <x v="27"/>
    <x v="27"/>
    <x v="14"/>
    <x v="92"/>
    <x v="9"/>
    <x v="31"/>
    <x v="100"/>
    <x v="86"/>
    <x v="68"/>
    <x v="2"/>
  </r>
  <r>
    <x v="0"/>
    <x v="5"/>
    <x v="5"/>
    <x v="16"/>
    <x v="16"/>
    <x v="16"/>
    <x v="16"/>
    <x v="70"/>
    <x v="82"/>
    <x v="53"/>
    <x v="57"/>
    <x v="77"/>
    <x v="90"/>
    <x v="2"/>
  </r>
  <r>
    <x v="0"/>
    <x v="5"/>
    <x v="5"/>
    <x v="28"/>
    <x v="28"/>
    <x v="28"/>
    <x v="17"/>
    <x v="79"/>
    <x v="83"/>
    <x v="53"/>
    <x v="57"/>
    <x v="87"/>
    <x v="91"/>
    <x v="2"/>
  </r>
  <r>
    <x v="0"/>
    <x v="5"/>
    <x v="5"/>
    <x v="21"/>
    <x v="21"/>
    <x v="21"/>
    <x v="18"/>
    <x v="80"/>
    <x v="84"/>
    <x v="42"/>
    <x v="101"/>
    <x v="88"/>
    <x v="92"/>
    <x v="2"/>
  </r>
  <r>
    <x v="0"/>
    <x v="5"/>
    <x v="5"/>
    <x v="6"/>
    <x v="6"/>
    <x v="6"/>
    <x v="18"/>
    <x v="80"/>
    <x v="84"/>
    <x v="75"/>
    <x v="102"/>
    <x v="68"/>
    <x v="93"/>
    <x v="2"/>
  </r>
  <r>
    <x v="0"/>
    <x v="6"/>
    <x v="6"/>
    <x v="0"/>
    <x v="0"/>
    <x v="0"/>
    <x v="0"/>
    <x v="93"/>
    <x v="85"/>
    <x v="76"/>
    <x v="103"/>
    <x v="89"/>
    <x v="94"/>
    <x v="2"/>
  </r>
  <r>
    <x v="0"/>
    <x v="6"/>
    <x v="6"/>
    <x v="2"/>
    <x v="2"/>
    <x v="2"/>
    <x v="1"/>
    <x v="89"/>
    <x v="86"/>
    <x v="77"/>
    <x v="104"/>
    <x v="42"/>
    <x v="95"/>
    <x v="2"/>
  </r>
  <r>
    <x v="0"/>
    <x v="6"/>
    <x v="6"/>
    <x v="6"/>
    <x v="6"/>
    <x v="6"/>
    <x v="2"/>
    <x v="94"/>
    <x v="87"/>
    <x v="73"/>
    <x v="105"/>
    <x v="76"/>
    <x v="30"/>
    <x v="2"/>
  </r>
  <r>
    <x v="0"/>
    <x v="6"/>
    <x v="6"/>
    <x v="5"/>
    <x v="5"/>
    <x v="5"/>
    <x v="3"/>
    <x v="77"/>
    <x v="88"/>
    <x v="15"/>
    <x v="106"/>
    <x v="46"/>
    <x v="96"/>
    <x v="2"/>
  </r>
  <r>
    <x v="0"/>
    <x v="6"/>
    <x v="6"/>
    <x v="1"/>
    <x v="1"/>
    <x v="1"/>
    <x v="4"/>
    <x v="79"/>
    <x v="89"/>
    <x v="30"/>
    <x v="107"/>
    <x v="86"/>
    <x v="97"/>
    <x v="2"/>
  </r>
  <r>
    <x v="0"/>
    <x v="6"/>
    <x v="6"/>
    <x v="29"/>
    <x v="29"/>
    <x v="29"/>
    <x v="5"/>
    <x v="72"/>
    <x v="90"/>
    <x v="78"/>
    <x v="108"/>
    <x v="78"/>
    <x v="98"/>
    <x v="2"/>
  </r>
  <r>
    <x v="0"/>
    <x v="6"/>
    <x v="6"/>
    <x v="8"/>
    <x v="8"/>
    <x v="8"/>
    <x v="6"/>
    <x v="95"/>
    <x v="91"/>
    <x v="30"/>
    <x v="107"/>
    <x v="89"/>
    <x v="94"/>
    <x v="2"/>
  </r>
  <r>
    <x v="0"/>
    <x v="6"/>
    <x v="6"/>
    <x v="10"/>
    <x v="10"/>
    <x v="10"/>
    <x v="7"/>
    <x v="96"/>
    <x v="81"/>
    <x v="53"/>
    <x v="57"/>
    <x v="72"/>
    <x v="99"/>
    <x v="2"/>
  </r>
  <r>
    <x v="0"/>
    <x v="6"/>
    <x v="6"/>
    <x v="11"/>
    <x v="11"/>
    <x v="11"/>
    <x v="8"/>
    <x v="97"/>
    <x v="92"/>
    <x v="52"/>
    <x v="83"/>
    <x v="47"/>
    <x v="26"/>
    <x v="2"/>
  </r>
  <r>
    <x v="0"/>
    <x v="6"/>
    <x v="6"/>
    <x v="14"/>
    <x v="14"/>
    <x v="14"/>
    <x v="9"/>
    <x v="98"/>
    <x v="93"/>
    <x v="42"/>
    <x v="14"/>
    <x v="46"/>
    <x v="96"/>
    <x v="2"/>
  </r>
  <r>
    <x v="0"/>
    <x v="6"/>
    <x v="6"/>
    <x v="3"/>
    <x v="3"/>
    <x v="3"/>
    <x v="9"/>
    <x v="98"/>
    <x v="93"/>
    <x v="79"/>
    <x v="55"/>
    <x v="74"/>
    <x v="100"/>
    <x v="2"/>
  </r>
  <r>
    <x v="0"/>
    <x v="6"/>
    <x v="6"/>
    <x v="19"/>
    <x v="19"/>
    <x v="19"/>
    <x v="11"/>
    <x v="99"/>
    <x v="94"/>
    <x v="53"/>
    <x v="57"/>
    <x v="89"/>
    <x v="94"/>
    <x v="2"/>
  </r>
  <r>
    <x v="0"/>
    <x v="6"/>
    <x v="6"/>
    <x v="20"/>
    <x v="20"/>
    <x v="20"/>
    <x v="11"/>
    <x v="99"/>
    <x v="94"/>
    <x v="44"/>
    <x v="109"/>
    <x v="54"/>
    <x v="101"/>
    <x v="2"/>
  </r>
  <r>
    <x v="0"/>
    <x v="6"/>
    <x v="6"/>
    <x v="22"/>
    <x v="22"/>
    <x v="22"/>
    <x v="13"/>
    <x v="100"/>
    <x v="45"/>
    <x v="33"/>
    <x v="110"/>
    <x v="33"/>
    <x v="102"/>
    <x v="2"/>
  </r>
  <r>
    <x v="0"/>
    <x v="6"/>
    <x v="6"/>
    <x v="16"/>
    <x v="16"/>
    <x v="16"/>
    <x v="13"/>
    <x v="100"/>
    <x v="45"/>
    <x v="59"/>
    <x v="111"/>
    <x v="76"/>
    <x v="30"/>
    <x v="2"/>
  </r>
  <r>
    <x v="0"/>
    <x v="6"/>
    <x v="6"/>
    <x v="9"/>
    <x v="9"/>
    <x v="9"/>
    <x v="15"/>
    <x v="101"/>
    <x v="95"/>
    <x v="53"/>
    <x v="57"/>
    <x v="76"/>
    <x v="30"/>
    <x v="2"/>
  </r>
  <r>
    <x v="0"/>
    <x v="6"/>
    <x v="6"/>
    <x v="15"/>
    <x v="15"/>
    <x v="15"/>
    <x v="15"/>
    <x v="101"/>
    <x v="95"/>
    <x v="53"/>
    <x v="57"/>
    <x v="76"/>
    <x v="30"/>
    <x v="2"/>
  </r>
  <r>
    <x v="0"/>
    <x v="6"/>
    <x v="6"/>
    <x v="30"/>
    <x v="30"/>
    <x v="30"/>
    <x v="17"/>
    <x v="102"/>
    <x v="96"/>
    <x v="52"/>
    <x v="83"/>
    <x v="73"/>
    <x v="103"/>
    <x v="2"/>
  </r>
  <r>
    <x v="0"/>
    <x v="6"/>
    <x v="6"/>
    <x v="13"/>
    <x v="13"/>
    <x v="13"/>
    <x v="17"/>
    <x v="102"/>
    <x v="96"/>
    <x v="80"/>
    <x v="112"/>
    <x v="82"/>
    <x v="104"/>
    <x v="2"/>
  </r>
  <r>
    <x v="0"/>
    <x v="6"/>
    <x v="6"/>
    <x v="31"/>
    <x v="31"/>
    <x v="31"/>
    <x v="19"/>
    <x v="103"/>
    <x v="97"/>
    <x v="59"/>
    <x v="111"/>
    <x v="33"/>
    <x v="102"/>
    <x v="2"/>
  </r>
  <r>
    <x v="0"/>
    <x v="6"/>
    <x v="6"/>
    <x v="24"/>
    <x v="24"/>
    <x v="24"/>
    <x v="19"/>
    <x v="103"/>
    <x v="97"/>
    <x v="31"/>
    <x v="113"/>
    <x v="82"/>
    <x v="104"/>
    <x v="2"/>
  </r>
  <r>
    <x v="0"/>
    <x v="6"/>
    <x v="6"/>
    <x v="32"/>
    <x v="32"/>
    <x v="32"/>
    <x v="19"/>
    <x v="103"/>
    <x v="97"/>
    <x v="80"/>
    <x v="112"/>
    <x v="61"/>
    <x v="61"/>
    <x v="2"/>
  </r>
  <r>
    <x v="0"/>
    <x v="6"/>
    <x v="6"/>
    <x v="33"/>
    <x v="33"/>
    <x v="33"/>
    <x v="19"/>
    <x v="103"/>
    <x v="97"/>
    <x v="53"/>
    <x v="57"/>
    <x v="78"/>
    <x v="98"/>
    <x v="2"/>
  </r>
  <r>
    <x v="0"/>
    <x v="7"/>
    <x v="7"/>
    <x v="30"/>
    <x v="30"/>
    <x v="30"/>
    <x v="0"/>
    <x v="66"/>
    <x v="98"/>
    <x v="52"/>
    <x v="114"/>
    <x v="67"/>
    <x v="105"/>
    <x v="2"/>
  </r>
  <r>
    <x v="0"/>
    <x v="7"/>
    <x v="7"/>
    <x v="0"/>
    <x v="0"/>
    <x v="0"/>
    <x v="1"/>
    <x v="69"/>
    <x v="99"/>
    <x v="49"/>
    <x v="115"/>
    <x v="73"/>
    <x v="48"/>
    <x v="2"/>
  </r>
  <r>
    <x v="0"/>
    <x v="7"/>
    <x v="7"/>
    <x v="2"/>
    <x v="2"/>
    <x v="2"/>
    <x v="2"/>
    <x v="70"/>
    <x v="100"/>
    <x v="81"/>
    <x v="116"/>
    <x v="46"/>
    <x v="106"/>
    <x v="2"/>
  </r>
  <r>
    <x v="0"/>
    <x v="7"/>
    <x v="7"/>
    <x v="1"/>
    <x v="1"/>
    <x v="1"/>
    <x v="3"/>
    <x v="79"/>
    <x v="101"/>
    <x v="53"/>
    <x v="57"/>
    <x v="87"/>
    <x v="107"/>
    <x v="2"/>
  </r>
  <r>
    <x v="0"/>
    <x v="7"/>
    <x v="7"/>
    <x v="6"/>
    <x v="6"/>
    <x v="6"/>
    <x v="4"/>
    <x v="72"/>
    <x v="102"/>
    <x v="27"/>
    <x v="117"/>
    <x v="72"/>
    <x v="14"/>
    <x v="0"/>
  </r>
  <r>
    <x v="0"/>
    <x v="7"/>
    <x v="7"/>
    <x v="34"/>
    <x v="34"/>
    <x v="34"/>
    <x v="5"/>
    <x v="82"/>
    <x v="103"/>
    <x v="59"/>
    <x v="118"/>
    <x v="50"/>
    <x v="108"/>
    <x v="2"/>
  </r>
  <r>
    <x v="0"/>
    <x v="7"/>
    <x v="7"/>
    <x v="18"/>
    <x v="18"/>
    <x v="18"/>
    <x v="5"/>
    <x v="82"/>
    <x v="103"/>
    <x v="59"/>
    <x v="118"/>
    <x v="50"/>
    <x v="108"/>
    <x v="2"/>
  </r>
  <r>
    <x v="0"/>
    <x v="7"/>
    <x v="7"/>
    <x v="21"/>
    <x v="21"/>
    <x v="21"/>
    <x v="5"/>
    <x v="82"/>
    <x v="103"/>
    <x v="27"/>
    <x v="117"/>
    <x v="89"/>
    <x v="109"/>
    <x v="2"/>
  </r>
  <r>
    <x v="0"/>
    <x v="7"/>
    <x v="7"/>
    <x v="7"/>
    <x v="7"/>
    <x v="7"/>
    <x v="8"/>
    <x v="95"/>
    <x v="104"/>
    <x v="31"/>
    <x v="119"/>
    <x v="76"/>
    <x v="51"/>
    <x v="2"/>
  </r>
  <r>
    <x v="0"/>
    <x v="7"/>
    <x v="7"/>
    <x v="35"/>
    <x v="35"/>
    <x v="35"/>
    <x v="9"/>
    <x v="97"/>
    <x v="26"/>
    <x v="59"/>
    <x v="118"/>
    <x v="88"/>
    <x v="110"/>
    <x v="2"/>
  </r>
  <r>
    <x v="0"/>
    <x v="7"/>
    <x v="7"/>
    <x v="22"/>
    <x v="22"/>
    <x v="22"/>
    <x v="9"/>
    <x v="97"/>
    <x v="26"/>
    <x v="30"/>
    <x v="36"/>
    <x v="76"/>
    <x v="51"/>
    <x v="2"/>
  </r>
  <r>
    <x v="0"/>
    <x v="7"/>
    <x v="7"/>
    <x v="5"/>
    <x v="5"/>
    <x v="5"/>
    <x v="9"/>
    <x v="97"/>
    <x v="26"/>
    <x v="50"/>
    <x v="120"/>
    <x v="61"/>
    <x v="111"/>
    <x v="2"/>
  </r>
  <r>
    <x v="0"/>
    <x v="7"/>
    <x v="7"/>
    <x v="31"/>
    <x v="31"/>
    <x v="31"/>
    <x v="12"/>
    <x v="98"/>
    <x v="28"/>
    <x v="59"/>
    <x v="118"/>
    <x v="89"/>
    <x v="109"/>
    <x v="2"/>
  </r>
  <r>
    <x v="0"/>
    <x v="7"/>
    <x v="7"/>
    <x v="3"/>
    <x v="3"/>
    <x v="3"/>
    <x v="12"/>
    <x v="98"/>
    <x v="28"/>
    <x v="80"/>
    <x v="121"/>
    <x v="33"/>
    <x v="112"/>
    <x v="2"/>
  </r>
  <r>
    <x v="0"/>
    <x v="7"/>
    <x v="7"/>
    <x v="20"/>
    <x v="20"/>
    <x v="20"/>
    <x v="12"/>
    <x v="98"/>
    <x v="28"/>
    <x v="78"/>
    <x v="122"/>
    <x v="65"/>
    <x v="113"/>
    <x v="2"/>
  </r>
  <r>
    <x v="0"/>
    <x v="7"/>
    <x v="7"/>
    <x v="36"/>
    <x v="36"/>
    <x v="36"/>
    <x v="15"/>
    <x v="99"/>
    <x v="59"/>
    <x v="59"/>
    <x v="118"/>
    <x v="47"/>
    <x v="114"/>
    <x v="2"/>
  </r>
  <r>
    <x v="0"/>
    <x v="7"/>
    <x v="7"/>
    <x v="29"/>
    <x v="29"/>
    <x v="29"/>
    <x v="15"/>
    <x v="99"/>
    <x v="59"/>
    <x v="80"/>
    <x v="121"/>
    <x v="73"/>
    <x v="48"/>
    <x v="2"/>
  </r>
  <r>
    <x v="0"/>
    <x v="7"/>
    <x v="7"/>
    <x v="37"/>
    <x v="37"/>
    <x v="37"/>
    <x v="17"/>
    <x v="101"/>
    <x v="45"/>
    <x v="53"/>
    <x v="57"/>
    <x v="76"/>
    <x v="51"/>
    <x v="2"/>
  </r>
  <r>
    <x v="0"/>
    <x v="7"/>
    <x v="7"/>
    <x v="16"/>
    <x v="16"/>
    <x v="16"/>
    <x v="18"/>
    <x v="104"/>
    <x v="95"/>
    <x v="53"/>
    <x v="57"/>
    <x v="66"/>
    <x v="17"/>
    <x v="2"/>
  </r>
  <r>
    <x v="0"/>
    <x v="7"/>
    <x v="7"/>
    <x v="38"/>
    <x v="38"/>
    <x v="38"/>
    <x v="18"/>
    <x v="104"/>
    <x v="95"/>
    <x v="53"/>
    <x v="57"/>
    <x v="66"/>
    <x v="17"/>
    <x v="2"/>
  </r>
  <r>
    <x v="0"/>
    <x v="8"/>
    <x v="8"/>
    <x v="0"/>
    <x v="0"/>
    <x v="0"/>
    <x v="0"/>
    <x v="105"/>
    <x v="105"/>
    <x v="82"/>
    <x v="123"/>
    <x v="65"/>
    <x v="115"/>
    <x v="2"/>
  </r>
  <r>
    <x v="0"/>
    <x v="8"/>
    <x v="8"/>
    <x v="2"/>
    <x v="2"/>
    <x v="2"/>
    <x v="1"/>
    <x v="106"/>
    <x v="106"/>
    <x v="83"/>
    <x v="124"/>
    <x v="74"/>
    <x v="100"/>
    <x v="2"/>
  </r>
  <r>
    <x v="0"/>
    <x v="8"/>
    <x v="8"/>
    <x v="3"/>
    <x v="3"/>
    <x v="3"/>
    <x v="2"/>
    <x v="107"/>
    <x v="107"/>
    <x v="51"/>
    <x v="125"/>
    <x v="82"/>
    <x v="104"/>
    <x v="2"/>
  </r>
  <r>
    <x v="0"/>
    <x v="8"/>
    <x v="8"/>
    <x v="1"/>
    <x v="1"/>
    <x v="1"/>
    <x v="3"/>
    <x v="87"/>
    <x v="108"/>
    <x v="84"/>
    <x v="126"/>
    <x v="42"/>
    <x v="95"/>
    <x v="2"/>
  </r>
  <r>
    <x v="0"/>
    <x v="8"/>
    <x v="8"/>
    <x v="7"/>
    <x v="7"/>
    <x v="7"/>
    <x v="4"/>
    <x v="89"/>
    <x v="109"/>
    <x v="74"/>
    <x v="51"/>
    <x v="66"/>
    <x v="116"/>
    <x v="2"/>
  </r>
  <r>
    <x v="0"/>
    <x v="8"/>
    <x v="8"/>
    <x v="4"/>
    <x v="4"/>
    <x v="4"/>
    <x v="5"/>
    <x v="91"/>
    <x v="103"/>
    <x v="85"/>
    <x v="127"/>
    <x v="90"/>
    <x v="117"/>
    <x v="2"/>
  </r>
  <r>
    <x v="0"/>
    <x v="8"/>
    <x v="8"/>
    <x v="14"/>
    <x v="14"/>
    <x v="14"/>
    <x v="6"/>
    <x v="108"/>
    <x v="110"/>
    <x v="74"/>
    <x v="51"/>
    <x v="73"/>
    <x v="34"/>
    <x v="2"/>
  </r>
  <r>
    <x v="0"/>
    <x v="8"/>
    <x v="8"/>
    <x v="13"/>
    <x v="13"/>
    <x v="13"/>
    <x v="7"/>
    <x v="78"/>
    <x v="43"/>
    <x v="37"/>
    <x v="128"/>
    <x v="69"/>
    <x v="43"/>
    <x v="2"/>
  </r>
  <r>
    <x v="0"/>
    <x v="8"/>
    <x v="8"/>
    <x v="5"/>
    <x v="5"/>
    <x v="5"/>
    <x v="8"/>
    <x v="66"/>
    <x v="26"/>
    <x v="74"/>
    <x v="51"/>
    <x v="69"/>
    <x v="43"/>
    <x v="2"/>
  </r>
  <r>
    <x v="0"/>
    <x v="8"/>
    <x v="8"/>
    <x v="11"/>
    <x v="11"/>
    <x v="11"/>
    <x v="9"/>
    <x v="68"/>
    <x v="92"/>
    <x v="86"/>
    <x v="129"/>
    <x v="73"/>
    <x v="34"/>
    <x v="2"/>
  </r>
  <r>
    <x v="0"/>
    <x v="8"/>
    <x v="8"/>
    <x v="39"/>
    <x v="39"/>
    <x v="39"/>
    <x v="10"/>
    <x v="69"/>
    <x v="111"/>
    <x v="75"/>
    <x v="53"/>
    <x v="76"/>
    <x v="29"/>
    <x v="2"/>
  </r>
  <r>
    <x v="0"/>
    <x v="8"/>
    <x v="8"/>
    <x v="40"/>
    <x v="40"/>
    <x v="40"/>
    <x v="10"/>
    <x v="69"/>
    <x v="111"/>
    <x v="49"/>
    <x v="130"/>
    <x v="73"/>
    <x v="34"/>
    <x v="2"/>
  </r>
  <r>
    <x v="0"/>
    <x v="8"/>
    <x v="8"/>
    <x v="37"/>
    <x v="37"/>
    <x v="37"/>
    <x v="12"/>
    <x v="79"/>
    <x v="69"/>
    <x v="60"/>
    <x v="131"/>
    <x v="72"/>
    <x v="118"/>
    <x v="2"/>
  </r>
  <r>
    <x v="0"/>
    <x v="8"/>
    <x v="8"/>
    <x v="41"/>
    <x v="41"/>
    <x v="41"/>
    <x v="13"/>
    <x v="72"/>
    <x v="83"/>
    <x v="42"/>
    <x v="83"/>
    <x v="72"/>
    <x v="118"/>
    <x v="2"/>
  </r>
  <r>
    <x v="0"/>
    <x v="8"/>
    <x v="8"/>
    <x v="42"/>
    <x v="42"/>
    <x v="42"/>
    <x v="13"/>
    <x v="72"/>
    <x v="83"/>
    <x v="73"/>
    <x v="132"/>
    <x v="54"/>
    <x v="101"/>
    <x v="2"/>
  </r>
  <r>
    <x v="0"/>
    <x v="8"/>
    <x v="8"/>
    <x v="30"/>
    <x v="30"/>
    <x v="30"/>
    <x v="15"/>
    <x v="80"/>
    <x v="46"/>
    <x v="79"/>
    <x v="133"/>
    <x v="33"/>
    <x v="119"/>
    <x v="2"/>
  </r>
  <r>
    <x v="0"/>
    <x v="8"/>
    <x v="8"/>
    <x v="43"/>
    <x v="43"/>
    <x v="43"/>
    <x v="15"/>
    <x v="80"/>
    <x v="46"/>
    <x v="29"/>
    <x v="134"/>
    <x v="42"/>
    <x v="95"/>
    <x v="2"/>
  </r>
  <r>
    <x v="0"/>
    <x v="8"/>
    <x v="8"/>
    <x v="22"/>
    <x v="22"/>
    <x v="22"/>
    <x v="15"/>
    <x v="80"/>
    <x v="46"/>
    <x v="78"/>
    <x v="135"/>
    <x v="73"/>
    <x v="34"/>
    <x v="2"/>
  </r>
  <r>
    <x v="0"/>
    <x v="8"/>
    <x v="8"/>
    <x v="6"/>
    <x v="6"/>
    <x v="6"/>
    <x v="18"/>
    <x v="81"/>
    <x v="47"/>
    <x v="86"/>
    <x v="129"/>
    <x v="65"/>
    <x v="115"/>
    <x v="2"/>
  </r>
  <r>
    <x v="0"/>
    <x v="8"/>
    <x v="8"/>
    <x v="8"/>
    <x v="8"/>
    <x v="8"/>
    <x v="19"/>
    <x v="82"/>
    <x v="70"/>
    <x v="87"/>
    <x v="136"/>
    <x v="78"/>
    <x v="18"/>
    <x v="2"/>
  </r>
  <r>
    <x v="0"/>
    <x v="8"/>
    <x v="8"/>
    <x v="44"/>
    <x v="44"/>
    <x v="44"/>
    <x v="19"/>
    <x v="82"/>
    <x v="70"/>
    <x v="87"/>
    <x v="136"/>
    <x v="78"/>
    <x v="18"/>
    <x v="2"/>
  </r>
  <r>
    <x v="0"/>
    <x v="8"/>
    <x v="8"/>
    <x v="16"/>
    <x v="16"/>
    <x v="16"/>
    <x v="19"/>
    <x v="82"/>
    <x v="70"/>
    <x v="27"/>
    <x v="137"/>
    <x v="89"/>
    <x v="120"/>
    <x v="2"/>
  </r>
  <r>
    <x v="0"/>
    <x v="9"/>
    <x v="9"/>
    <x v="1"/>
    <x v="1"/>
    <x v="1"/>
    <x v="0"/>
    <x v="109"/>
    <x v="112"/>
    <x v="88"/>
    <x v="138"/>
    <x v="91"/>
    <x v="121"/>
    <x v="2"/>
  </r>
  <r>
    <x v="0"/>
    <x v="9"/>
    <x v="9"/>
    <x v="0"/>
    <x v="0"/>
    <x v="0"/>
    <x v="1"/>
    <x v="110"/>
    <x v="113"/>
    <x v="89"/>
    <x v="139"/>
    <x v="92"/>
    <x v="122"/>
    <x v="2"/>
  </r>
  <r>
    <x v="0"/>
    <x v="9"/>
    <x v="9"/>
    <x v="15"/>
    <x v="15"/>
    <x v="15"/>
    <x v="2"/>
    <x v="111"/>
    <x v="114"/>
    <x v="27"/>
    <x v="140"/>
    <x v="93"/>
    <x v="123"/>
    <x v="0"/>
  </r>
  <r>
    <x v="0"/>
    <x v="9"/>
    <x v="9"/>
    <x v="5"/>
    <x v="5"/>
    <x v="5"/>
    <x v="3"/>
    <x v="112"/>
    <x v="3"/>
    <x v="90"/>
    <x v="141"/>
    <x v="62"/>
    <x v="61"/>
    <x v="2"/>
  </r>
  <r>
    <x v="0"/>
    <x v="9"/>
    <x v="9"/>
    <x v="3"/>
    <x v="3"/>
    <x v="3"/>
    <x v="4"/>
    <x v="37"/>
    <x v="102"/>
    <x v="91"/>
    <x v="142"/>
    <x v="94"/>
    <x v="124"/>
    <x v="2"/>
  </r>
  <r>
    <x v="0"/>
    <x v="9"/>
    <x v="9"/>
    <x v="2"/>
    <x v="2"/>
    <x v="2"/>
    <x v="5"/>
    <x v="38"/>
    <x v="4"/>
    <x v="92"/>
    <x v="143"/>
    <x v="58"/>
    <x v="21"/>
    <x v="2"/>
  </r>
  <r>
    <x v="0"/>
    <x v="9"/>
    <x v="9"/>
    <x v="6"/>
    <x v="6"/>
    <x v="6"/>
    <x v="6"/>
    <x v="113"/>
    <x v="115"/>
    <x v="93"/>
    <x v="144"/>
    <x v="22"/>
    <x v="64"/>
    <x v="2"/>
  </r>
  <r>
    <x v="0"/>
    <x v="9"/>
    <x v="9"/>
    <x v="7"/>
    <x v="7"/>
    <x v="7"/>
    <x v="7"/>
    <x v="114"/>
    <x v="116"/>
    <x v="94"/>
    <x v="145"/>
    <x v="41"/>
    <x v="95"/>
    <x v="2"/>
  </r>
  <r>
    <x v="0"/>
    <x v="9"/>
    <x v="9"/>
    <x v="4"/>
    <x v="4"/>
    <x v="4"/>
    <x v="8"/>
    <x v="115"/>
    <x v="117"/>
    <x v="95"/>
    <x v="72"/>
    <x v="46"/>
    <x v="125"/>
    <x v="2"/>
  </r>
  <r>
    <x v="0"/>
    <x v="9"/>
    <x v="9"/>
    <x v="21"/>
    <x v="21"/>
    <x v="21"/>
    <x v="9"/>
    <x v="116"/>
    <x v="29"/>
    <x v="96"/>
    <x v="14"/>
    <x v="95"/>
    <x v="126"/>
    <x v="2"/>
  </r>
  <r>
    <x v="0"/>
    <x v="9"/>
    <x v="9"/>
    <x v="25"/>
    <x v="25"/>
    <x v="25"/>
    <x v="10"/>
    <x v="117"/>
    <x v="32"/>
    <x v="30"/>
    <x v="146"/>
    <x v="96"/>
    <x v="89"/>
    <x v="2"/>
  </r>
  <r>
    <x v="0"/>
    <x v="9"/>
    <x v="9"/>
    <x v="20"/>
    <x v="20"/>
    <x v="20"/>
    <x v="10"/>
    <x v="117"/>
    <x v="32"/>
    <x v="97"/>
    <x v="80"/>
    <x v="61"/>
    <x v="127"/>
    <x v="2"/>
  </r>
  <r>
    <x v="0"/>
    <x v="9"/>
    <x v="9"/>
    <x v="16"/>
    <x v="16"/>
    <x v="16"/>
    <x v="12"/>
    <x v="118"/>
    <x v="118"/>
    <x v="29"/>
    <x v="63"/>
    <x v="59"/>
    <x v="79"/>
    <x v="2"/>
  </r>
  <r>
    <x v="0"/>
    <x v="9"/>
    <x v="9"/>
    <x v="19"/>
    <x v="19"/>
    <x v="19"/>
    <x v="13"/>
    <x v="49"/>
    <x v="119"/>
    <x v="72"/>
    <x v="147"/>
    <x v="45"/>
    <x v="128"/>
    <x v="2"/>
  </r>
  <r>
    <x v="0"/>
    <x v="9"/>
    <x v="9"/>
    <x v="14"/>
    <x v="14"/>
    <x v="14"/>
    <x v="14"/>
    <x v="93"/>
    <x v="120"/>
    <x v="51"/>
    <x v="148"/>
    <x v="77"/>
    <x v="111"/>
    <x v="2"/>
  </r>
  <r>
    <x v="0"/>
    <x v="9"/>
    <x v="9"/>
    <x v="27"/>
    <x v="27"/>
    <x v="27"/>
    <x v="15"/>
    <x v="119"/>
    <x v="121"/>
    <x v="87"/>
    <x v="149"/>
    <x v="97"/>
    <x v="129"/>
    <x v="2"/>
  </r>
  <r>
    <x v="0"/>
    <x v="9"/>
    <x v="9"/>
    <x v="31"/>
    <x v="31"/>
    <x v="31"/>
    <x v="15"/>
    <x v="119"/>
    <x v="121"/>
    <x v="48"/>
    <x v="15"/>
    <x v="98"/>
    <x v="130"/>
    <x v="2"/>
  </r>
  <r>
    <x v="0"/>
    <x v="9"/>
    <x v="9"/>
    <x v="8"/>
    <x v="8"/>
    <x v="8"/>
    <x v="17"/>
    <x v="50"/>
    <x v="122"/>
    <x v="98"/>
    <x v="150"/>
    <x v="99"/>
    <x v="10"/>
    <x v="2"/>
  </r>
  <r>
    <x v="0"/>
    <x v="9"/>
    <x v="9"/>
    <x v="17"/>
    <x v="17"/>
    <x v="17"/>
    <x v="18"/>
    <x v="60"/>
    <x v="123"/>
    <x v="33"/>
    <x v="151"/>
    <x v="100"/>
    <x v="11"/>
    <x v="2"/>
  </r>
  <r>
    <x v="0"/>
    <x v="9"/>
    <x v="9"/>
    <x v="9"/>
    <x v="9"/>
    <x v="9"/>
    <x v="19"/>
    <x v="120"/>
    <x v="124"/>
    <x v="33"/>
    <x v="151"/>
    <x v="101"/>
    <x v="131"/>
    <x v="2"/>
  </r>
  <r>
    <x v="0"/>
    <x v="10"/>
    <x v="10"/>
    <x v="0"/>
    <x v="0"/>
    <x v="0"/>
    <x v="0"/>
    <x v="121"/>
    <x v="125"/>
    <x v="99"/>
    <x v="152"/>
    <x v="102"/>
    <x v="38"/>
    <x v="0"/>
  </r>
  <r>
    <x v="0"/>
    <x v="10"/>
    <x v="10"/>
    <x v="1"/>
    <x v="1"/>
    <x v="1"/>
    <x v="1"/>
    <x v="122"/>
    <x v="126"/>
    <x v="56"/>
    <x v="153"/>
    <x v="103"/>
    <x v="132"/>
    <x v="0"/>
  </r>
  <r>
    <x v="0"/>
    <x v="10"/>
    <x v="10"/>
    <x v="2"/>
    <x v="2"/>
    <x v="2"/>
    <x v="2"/>
    <x v="123"/>
    <x v="127"/>
    <x v="100"/>
    <x v="154"/>
    <x v="104"/>
    <x v="24"/>
    <x v="2"/>
  </r>
  <r>
    <x v="0"/>
    <x v="10"/>
    <x v="10"/>
    <x v="5"/>
    <x v="5"/>
    <x v="5"/>
    <x v="3"/>
    <x v="124"/>
    <x v="128"/>
    <x v="101"/>
    <x v="155"/>
    <x v="105"/>
    <x v="133"/>
    <x v="2"/>
  </r>
  <r>
    <x v="0"/>
    <x v="10"/>
    <x v="10"/>
    <x v="4"/>
    <x v="4"/>
    <x v="4"/>
    <x v="4"/>
    <x v="125"/>
    <x v="129"/>
    <x v="102"/>
    <x v="156"/>
    <x v="64"/>
    <x v="134"/>
    <x v="2"/>
  </r>
  <r>
    <x v="0"/>
    <x v="10"/>
    <x v="10"/>
    <x v="3"/>
    <x v="3"/>
    <x v="3"/>
    <x v="5"/>
    <x v="126"/>
    <x v="130"/>
    <x v="103"/>
    <x v="157"/>
    <x v="106"/>
    <x v="135"/>
    <x v="2"/>
  </r>
  <r>
    <x v="0"/>
    <x v="10"/>
    <x v="10"/>
    <x v="6"/>
    <x v="6"/>
    <x v="6"/>
    <x v="6"/>
    <x v="35"/>
    <x v="131"/>
    <x v="104"/>
    <x v="158"/>
    <x v="107"/>
    <x v="112"/>
    <x v="0"/>
  </r>
  <r>
    <x v="0"/>
    <x v="10"/>
    <x v="10"/>
    <x v="15"/>
    <x v="15"/>
    <x v="15"/>
    <x v="7"/>
    <x v="127"/>
    <x v="77"/>
    <x v="30"/>
    <x v="65"/>
    <x v="108"/>
    <x v="136"/>
    <x v="0"/>
  </r>
  <r>
    <x v="0"/>
    <x v="10"/>
    <x v="10"/>
    <x v="21"/>
    <x v="21"/>
    <x v="21"/>
    <x v="8"/>
    <x v="128"/>
    <x v="132"/>
    <x v="105"/>
    <x v="159"/>
    <x v="109"/>
    <x v="122"/>
    <x v="2"/>
  </r>
  <r>
    <x v="0"/>
    <x v="10"/>
    <x v="10"/>
    <x v="25"/>
    <x v="25"/>
    <x v="25"/>
    <x v="9"/>
    <x v="129"/>
    <x v="133"/>
    <x v="52"/>
    <x v="160"/>
    <x v="110"/>
    <x v="137"/>
    <x v="0"/>
  </r>
  <r>
    <x v="0"/>
    <x v="10"/>
    <x v="10"/>
    <x v="16"/>
    <x v="16"/>
    <x v="16"/>
    <x v="10"/>
    <x v="130"/>
    <x v="68"/>
    <x v="72"/>
    <x v="161"/>
    <x v="111"/>
    <x v="138"/>
    <x v="2"/>
  </r>
  <r>
    <x v="0"/>
    <x v="10"/>
    <x v="10"/>
    <x v="18"/>
    <x v="18"/>
    <x v="18"/>
    <x v="11"/>
    <x v="131"/>
    <x v="31"/>
    <x v="75"/>
    <x v="162"/>
    <x v="112"/>
    <x v="139"/>
    <x v="2"/>
  </r>
  <r>
    <x v="0"/>
    <x v="10"/>
    <x v="10"/>
    <x v="45"/>
    <x v="45"/>
    <x v="45"/>
    <x v="12"/>
    <x v="44"/>
    <x v="83"/>
    <x v="106"/>
    <x v="163"/>
    <x v="73"/>
    <x v="101"/>
    <x v="2"/>
  </r>
  <r>
    <x v="0"/>
    <x v="10"/>
    <x v="10"/>
    <x v="20"/>
    <x v="20"/>
    <x v="20"/>
    <x v="13"/>
    <x v="114"/>
    <x v="32"/>
    <x v="107"/>
    <x v="164"/>
    <x v="66"/>
    <x v="81"/>
    <x v="2"/>
  </r>
  <r>
    <x v="0"/>
    <x v="10"/>
    <x v="10"/>
    <x v="7"/>
    <x v="7"/>
    <x v="7"/>
    <x v="14"/>
    <x v="132"/>
    <x v="118"/>
    <x v="108"/>
    <x v="165"/>
    <x v="113"/>
    <x v="64"/>
    <x v="2"/>
  </r>
  <r>
    <x v="0"/>
    <x v="10"/>
    <x v="10"/>
    <x v="9"/>
    <x v="9"/>
    <x v="9"/>
    <x v="15"/>
    <x v="116"/>
    <x v="14"/>
    <x v="52"/>
    <x v="160"/>
    <x v="114"/>
    <x v="116"/>
    <x v="2"/>
  </r>
  <r>
    <x v="0"/>
    <x v="10"/>
    <x v="10"/>
    <x v="17"/>
    <x v="17"/>
    <x v="17"/>
    <x v="16"/>
    <x v="45"/>
    <x v="47"/>
    <x v="59"/>
    <x v="166"/>
    <x v="115"/>
    <x v="32"/>
    <x v="2"/>
  </r>
  <r>
    <x v="0"/>
    <x v="10"/>
    <x v="10"/>
    <x v="19"/>
    <x v="19"/>
    <x v="19"/>
    <x v="17"/>
    <x v="84"/>
    <x v="134"/>
    <x v="42"/>
    <x v="167"/>
    <x v="35"/>
    <x v="140"/>
    <x v="2"/>
  </r>
  <r>
    <x v="0"/>
    <x v="10"/>
    <x v="10"/>
    <x v="32"/>
    <x v="32"/>
    <x v="32"/>
    <x v="17"/>
    <x v="84"/>
    <x v="134"/>
    <x v="81"/>
    <x v="168"/>
    <x v="87"/>
    <x v="141"/>
    <x v="2"/>
  </r>
  <r>
    <x v="0"/>
    <x v="10"/>
    <x v="10"/>
    <x v="29"/>
    <x v="29"/>
    <x v="29"/>
    <x v="19"/>
    <x v="46"/>
    <x v="135"/>
    <x v="108"/>
    <x v="165"/>
    <x v="116"/>
    <x v="142"/>
    <x v="2"/>
  </r>
  <r>
    <x v="0"/>
    <x v="11"/>
    <x v="11"/>
    <x v="0"/>
    <x v="0"/>
    <x v="0"/>
    <x v="0"/>
    <x v="133"/>
    <x v="136"/>
    <x v="109"/>
    <x v="169"/>
    <x v="54"/>
    <x v="81"/>
    <x v="2"/>
  </r>
  <r>
    <x v="0"/>
    <x v="11"/>
    <x v="11"/>
    <x v="3"/>
    <x v="3"/>
    <x v="3"/>
    <x v="1"/>
    <x v="134"/>
    <x v="137"/>
    <x v="110"/>
    <x v="170"/>
    <x v="61"/>
    <x v="37"/>
    <x v="2"/>
  </r>
  <r>
    <x v="0"/>
    <x v="11"/>
    <x v="11"/>
    <x v="4"/>
    <x v="4"/>
    <x v="4"/>
    <x v="1"/>
    <x v="134"/>
    <x v="137"/>
    <x v="68"/>
    <x v="171"/>
    <x v="54"/>
    <x v="81"/>
    <x v="2"/>
  </r>
  <r>
    <x v="0"/>
    <x v="11"/>
    <x v="11"/>
    <x v="2"/>
    <x v="2"/>
    <x v="2"/>
    <x v="3"/>
    <x v="135"/>
    <x v="138"/>
    <x v="111"/>
    <x v="172"/>
    <x v="90"/>
    <x v="143"/>
    <x v="2"/>
  </r>
  <r>
    <x v="0"/>
    <x v="11"/>
    <x v="11"/>
    <x v="45"/>
    <x v="45"/>
    <x v="45"/>
    <x v="4"/>
    <x v="108"/>
    <x v="139"/>
    <x v="112"/>
    <x v="98"/>
    <x v="90"/>
    <x v="143"/>
    <x v="2"/>
  </r>
  <r>
    <x v="0"/>
    <x v="11"/>
    <x v="11"/>
    <x v="11"/>
    <x v="11"/>
    <x v="11"/>
    <x v="5"/>
    <x v="77"/>
    <x v="140"/>
    <x v="15"/>
    <x v="25"/>
    <x v="46"/>
    <x v="114"/>
    <x v="2"/>
  </r>
  <r>
    <x v="0"/>
    <x v="11"/>
    <x v="11"/>
    <x v="46"/>
    <x v="46"/>
    <x v="46"/>
    <x v="6"/>
    <x v="78"/>
    <x v="102"/>
    <x v="113"/>
    <x v="173"/>
    <x v="61"/>
    <x v="37"/>
    <x v="2"/>
  </r>
  <r>
    <x v="0"/>
    <x v="11"/>
    <x v="11"/>
    <x v="6"/>
    <x v="6"/>
    <x v="6"/>
    <x v="7"/>
    <x v="92"/>
    <x v="141"/>
    <x v="69"/>
    <x v="174"/>
    <x v="82"/>
    <x v="144"/>
    <x v="2"/>
  </r>
  <r>
    <x v="0"/>
    <x v="11"/>
    <x v="11"/>
    <x v="14"/>
    <x v="14"/>
    <x v="14"/>
    <x v="8"/>
    <x v="70"/>
    <x v="142"/>
    <x v="81"/>
    <x v="175"/>
    <x v="46"/>
    <x v="114"/>
    <x v="2"/>
  </r>
  <r>
    <x v="0"/>
    <x v="11"/>
    <x v="11"/>
    <x v="1"/>
    <x v="1"/>
    <x v="1"/>
    <x v="9"/>
    <x v="73"/>
    <x v="143"/>
    <x v="44"/>
    <x v="176"/>
    <x v="73"/>
    <x v="145"/>
    <x v="2"/>
  </r>
  <r>
    <x v="0"/>
    <x v="11"/>
    <x v="11"/>
    <x v="10"/>
    <x v="10"/>
    <x v="10"/>
    <x v="10"/>
    <x v="82"/>
    <x v="92"/>
    <x v="60"/>
    <x v="177"/>
    <x v="66"/>
    <x v="108"/>
    <x v="2"/>
  </r>
  <r>
    <x v="0"/>
    <x v="11"/>
    <x v="11"/>
    <x v="5"/>
    <x v="5"/>
    <x v="5"/>
    <x v="10"/>
    <x v="82"/>
    <x v="92"/>
    <x v="26"/>
    <x v="178"/>
    <x v="54"/>
    <x v="81"/>
    <x v="2"/>
  </r>
  <r>
    <x v="0"/>
    <x v="11"/>
    <x v="11"/>
    <x v="13"/>
    <x v="13"/>
    <x v="13"/>
    <x v="12"/>
    <x v="136"/>
    <x v="144"/>
    <x v="87"/>
    <x v="179"/>
    <x v="73"/>
    <x v="145"/>
    <x v="2"/>
  </r>
  <r>
    <x v="0"/>
    <x v="11"/>
    <x v="11"/>
    <x v="39"/>
    <x v="39"/>
    <x v="39"/>
    <x v="13"/>
    <x v="137"/>
    <x v="9"/>
    <x v="44"/>
    <x v="176"/>
    <x v="117"/>
    <x v="104"/>
    <x v="2"/>
  </r>
  <r>
    <x v="0"/>
    <x v="11"/>
    <x v="11"/>
    <x v="12"/>
    <x v="12"/>
    <x v="12"/>
    <x v="14"/>
    <x v="95"/>
    <x v="60"/>
    <x v="87"/>
    <x v="179"/>
    <x v="68"/>
    <x v="146"/>
    <x v="2"/>
  </r>
  <r>
    <x v="0"/>
    <x v="11"/>
    <x v="11"/>
    <x v="7"/>
    <x v="7"/>
    <x v="7"/>
    <x v="14"/>
    <x v="95"/>
    <x v="60"/>
    <x v="70"/>
    <x v="114"/>
    <x v="82"/>
    <x v="144"/>
    <x v="2"/>
  </r>
  <r>
    <x v="0"/>
    <x v="11"/>
    <x v="11"/>
    <x v="21"/>
    <x v="21"/>
    <x v="21"/>
    <x v="14"/>
    <x v="95"/>
    <x v="60"/>
    <x v="70"/>
    <x v="114"/>
    <x v="82"/>
    <x v="144"/>
    <x v="2"/>
  </r>
  <r>
    <x v="0"/>
    <x v="11"/>
    <x v="11"/>
    <x v="8"/>
    <x v="8"/>
    <x v="8"/>
    <x v="17"/>
    <x v="96"/>
    <x v="13"/>
    <x v="98"/>
    <x v="180"/>
    <x v="68"/>
    <x v="146"/>
    <x v="2"/>
  </r>
  <r>
    <x v="0"/>
    <x v="11"/>
    <x v="11"/>
    <x v="47"/>
    <x v="47"/>
    <x v="47"/>
    <x v="18"/>
    <x v="97"/>
    <x v="145"/>
    <x v="29"/>
    <x v="181"/>
    <x v="54"/>
    <x v="81"/>
    <x v="2"/>
  </r>
  <r>
    <x v="0"/>
    <x v="11"/>
    <x v="11"/>
    <x v="30"/>
    <x v="30"/>
    <x v="30"/>
    <x v="19"/>
    <x v="99"/>
    <x v="17"/>
    <x v="42"/>
    <x v="182"/>
    <x v="68"/>
    <x v="146"/>
    <x v="2"/>
  </r>
  <r>
    <x v="0"/>
    <x v="12"/>
    <x v="12"/>
    <x v="0"/>
    <x v="0"/>
    <x v="0"/>
    <x v="0"/>
    <x v="138"/>
    <x v="146"/>
    <x v="114"/>
    <x v="183"/>
    <x v="89"/>
    <x v="147"/>
    <x v="2"/>
  </r>
  <r>
    <x v="0"/>
    <x v="12"/>
    <x v="12"/>
    <x v="4"/>
    <x v="4"/>
    <x v="4"/>
    <x v="1"/>
    <x v="116"/>
    <x v="147"/>
    <x v="115"/>
    <x v="184"/>
    <x v="61"/>
    <x v="148"/>
    <x v="2"/>
  </r>
  <r>
    <x v="0"/>
    <x v="12"/>
    <x v="12"/>
    <x v="2"/>
    <x v="2"/>
    <x v="2"/>
    <x v="2"/>
    <x v="75"/>
    <x v="148"/>
    <x v="43"/>
    <x v="185"/>
    <x v="117"/>
    <x v="113"/>
    <x v="2"/>
  </r>
  <r>
    <x v="0"/>
    <x v="12"/>
    <x v="12"/>
    <x v="3"/>
    <x v="3"/>
    <x v="3"/>
    <x v="3"/>
    <x v="139"/>
    <x v="149"/>
    <x v="51"/>
    <x v="186"/>
    <x v="79"/>
    <x v="149"/>
    <x v="2"/>
  </r>
  <r>
    <x v="0"/>
    <x v="12"/>
    <x v="12"/>
    <x v="30"/>
    <x v="30"/>
    <x v="30"/>
    <x v="4"/>
    <x v="140"/>
    <x v="42"/>
    <x v="87"/>
    <x v="187"/>
    <x v="118"/>
    <x v="150"/>
    <x v="2"/>
  </r>
  <r>
    <x v="0"/>
    <x v="12"/>
    <x v="12"/>
    <x v="7"/>
    <x v="7"/>
    <x v="7"/>
    <x v="4"/>
    <x v="140"/>
    <x v="42"/>
    <x v="116"/>
    <x v="188"/>
    <x v="63"/>
    <x v="68"/>
    <x v="2"/>
  </r>
  <r>
    <x v="0"/>
    <x v="12"/>
    <x v="12"/>
    <x v="5"/>
    <x v="5"/>
    <x v="5"/>
    <x v="4"/>
    <x v="140"/>
    <x v="42"/>
    <x v="111"/>
    <x v="189"/>
    <x v="42"/>
    <x v="86"/>
    <x v="2"/>
  </r>
  <r>
    <x v="0"/>
    <x v="12"/>
    <x v="12"/>
    <x v="1"/>
    <x v="1"/>
    <x v="1"/>
    <x v="7"/>
    <x v="56"/>
    <x v="150"/>
    <x v="98"/>
    <x v="190"/>
    <x v="116"/>
    <x v="151"/>
    <x v="2"/>
  </r>
  <r>
    <x v="0"/>
    <x v="12"/>
    <x v="12"/>
    <x v="8"/>
    <x v="8"/>
    <x v="8"/>
    <x v="8"/>
    <x v="141"/>
    <x v="80"/>
    <x v="27"/>
    <x v="74"/>
    <x v="116"/>
    <x v="151"/>
    <x v="2"/>
  </r>
  <r>
    <x v="0"/>
    <x v="12"/>
    <x v="12"/>
    <x v="10"/>
    <x v="10"/>
    <x v="10"/>
    <x v="9"/>
    <x v="89"/>
    <x v="116"/>
    <x v="33"/>
    <x v="84"/>
    <x v="94"/>
    <x v="152"/>
    <x v="2"/>
  </r>
  <r>
    <x v="0"/>
    <x v="12"/>
    <x v="12"/>
    <x v="9"/>
    <x v="9"/>
    <x v="9"/>
    <x v="9"/>
    <x v="89"/>
    <x v="116"/>
    <x v="52"/>
    <x v="50"/>
    <x v="118"/>
    <x v="150"/>
    <x v="2"/>
  </r>
  <r>
    <x v="0"/>
    <x v="12"/>
    <x v="12"/>
    <x v="22"/>
    <x v="22"/>
    <x v="22"/>
    <x v="9"/>
    <x v="89"/>
    <x v="116"/>
    <x v="70"/>
    <x v="133"/>
    <x v="119"/>
    <x v="62"/>
    <x v="2"/>
  </r>
  <r>
    <x v="0"/>
    <x v="12"/>
    <x v="12"/>
    <x v="45"/>
    <x v="45"/>
    <x v="45"/>
    <x v="12"/>
    <x v="142"/>
    <x v="28"/>
    <x v="47"/>
    <x v="191"/>
    <x v="120"/>
    <x v="72"/>
    <x v="2"/>
  </r>
  <r>
    <x v="0"/>
    <x v="12"/>
    <x v="12"/>
    <x v="6"/>
    <x v="6"/>
    <x v="6"/>
    <x v="13"/>
    <x v="90"/>
    <x v="58"/>
    <x v="35"/>
    <x v="192"/>
    <x v="121"/>
    <x v="153"/>
    <x v="2"/>
  </r>
  <r>
    <x v="0"/>
    <x v="12"/>
    <x v="12"/>
    <x v="21"/>
    <x v="21"/>
    <x v="21"/>
    <x v="14"/>
    <x v="108"/>
    <x v="7"/>
    <x v="73"/>
    <x v="193"/>
    <x v="89"/>
    <x v="147"/>
    <x v="2"/>
  </r>
  <r>
    <x v="0"/>
    <x v="12"/>
    <x v="12"/>
    <x v="11"/>
    <x v="11"/>
    <x v="11"/>
    <x v="15"/>
    <x v="94"/>
    <x v="94"/>
    <x v="42"/>
    <x v="28"/>
    <x v="119"/>
    <x v="62"/>
    <x v="2"/>
  </r>
  <r>
    <x v="0"/>
    <x v="12"/>
    <x v="12"/>
    <x v="17"/>
    <x v="17"/>
    <x v="17"/>
    <x v="16"/>
    <x v="77"/>
    <x v="60"/>
    <x v="52"/>
    <x v="50"/>
    <x v="53"/>
    <x v="154"/>
    <x v="2"/>
  </r>
  <r>
    <x v="0"/>
    <x v="12"/>
    <x v="12"/>
    <x v="47"/>
    <x v="47"/>
    <x v="47"/>
    <x v="17"/>
    <x v="65"/>
    <x v="119"/>
    <x v="117"/>
    <x v="194"/>
    <x v="90"/>
    <x v="155"/>
    <x v="2"/>
  </r>
  <r>
    <x v="0"/>
    <x v="12"/>
    <x v="12"/>
    <x v="13"/>
    <x v="13"/>
    <x v="13"/>
    <x v="18"/>
    <x v="143"/>
    <x v="120"/>
    <x v="26"/>
    <x v="195"/>
    <x v="78"/>
    <x v="156"/>
    <x v="2"/>
  </r>
  <r>
    <x v="0"/>
    <x v="12"/>
    <x v="12"/>
    <x v="19"/>
    <x v="19"/>
    <x v="19"/>
    <x v="19"/>
    <x v="67"/>
    <x v="84"/>
    <x v="80"/>
    <x v="91"/>
    <x v="64"/>
    <x v="157"/>
    <x v="2"/>
  </r>
  <r>
    <x v="0"/>
    <x v="13"/>
    <x v="13"/>
    <x v="1"/>
    <x v="1"/>
    <x v="1"/>
    <x v="0"/>
    <x v="144"/>
    <x v="151"/>
    <x v="118"/>
    <x v="196"/>
    <x v="122"/>
    <x v="158"/>
    <x v="2"/>
  </r>
  <r>
    <x v="0"/>
    <x v="13"/>
    <x v="13"/>
    <x v="0"/>
    <x v="0"/>
    <x v="0"/>
    <x v="1"/>
    <x v="145"/>
    <x v="152"/>
    <x v="119"/>
    <x v="197"/>
    <x v="113"/>
    <x v="159"/>
    <x v="2"/>
  </r>
  <r>
    <x v="0"/>
    <x v="13"/>
    <x v="13"/>
    <x v="4"/>
    <x v="4"/>
    <x v="4"/>
    <x v="2"/>
    <x v="146"/>
    <x v="153"/>
    <x v="120"/>
    <x v="198"/>
    <x v="79"/>
    <x v="21"/>
    <x v="2"/>
  </r>
  <r>
    <x v="0"/>
    <x v="13"/>
    <x v="13"/>
    <x v="2"/>
    <x v="2"/>
    <x v="2"/>
    <x v="3"/>
    <x v="147"/>
    <x v="154"/>
    <x v="121"/>
    <x v="199"/>
    <x v="123"/>
    <x v="160"/>
    <x v="2"/>
  </r>
  <r>
    <x v="0"/>
    <x v="13"/>
    <x v="13"/>
    <x v="5"/>
    <x v="5"/>
    <x v="5"/>
    <x v="4"/>
    <x v="148"/>
    <x v="155"/>
    <x v="122"/>
    <x v="200"/>
    <x v="116"/>
    <x v="161"/>
    <x v="2"/>
  </r>
  <r>
    <x v="0"/>
    <x v="13"/>
    <x v="13"/>
    <x v="3"/>
    <x v="3"/>
    <x v="3"/>
    <x v="5"/>
    <x v="149"/>
    <x v="156"/>
    <x v="123"/>
    <x v="201"/>
    <x v="81"/>
    <x v="124"/>
    <x v="2"/>
  </r>
  <r>
    <x v="0"/>
    <x v="13"/>
    <x v="13"/>
    <x v="6"/>
    <x v="6"/>
    <x v="6"/>
    <x v="6"/>
    <x v="150"/>
    <x v="75"/>
    <x v="124"/>
    <x v="202"/>
    <x v="56"/>
    <x v="162"/>
    <x v="2"/>
  </r>
  <r>
    <x v="0"/>
    <x v="13"/>
    <x v="13"/>
    <x v="25"/>
    <x v="25"/>
    <x v="25"/>
    <x v="7"/>
    <x v="151"/>
    <x v="67"/>
    <x v="42"/>
    <x v="167"/>
    <x v="124"/>
    <x v="163"/>
    <x v="2"/>
  </r>
  <r>
    <x v="0"/>
    <x v="13"/>
    <x v="13"/>
    <x v="15"/>
    <x v="15"/>
    <x v="15"/>
    <x v="8"/>
    <x v="152"/>
    <x v="157"/>
    <x v="30"/>
    <x v="65"/>
    <x v="125"/>
    <x v="164"/>
    <x v="1"/>
  </r>
  <r>
    <x v="0"/>
    <x v="13"/>
    <x v="13"/>
    <x v="7"/>
    <x v="7"/>
    <x v="7"/>
    <x v="9"/>
    <x v="115"/>
    <x v="45"/>
    <x v="125"/>
    <x v="203"/>
    <x v="99"/>
    <x v="165"/>
    <x v="2"/>
  </r>
  <r>
    <x v="0"/>
    <x v="13"/>
    <x v="13"/>
    <x v="19"/>
    <x v="19"/>
    <x v="19"/>
    <x v="10"/>
    <x v="153"/>
    <x v="158"/>
    <x v="42"/>
    <x v="167"/>
    <x v="126"/>
    <x v="166"/>
    <x v="2"/>
  </r>
  <r>
    <x v="0"/>
    <x v="13"/>
    <x v="13"/>
    <x v="16"/>
    <x v="16"/>
    <x v="16"/>
    <x v="11"/>
    <x v="84"/>
    <x v="33"/>
    <x v="64"/>
    <x v="204"/>
    <x v="127"/>
    <x v="167"/>
    <x v="2"/>
  </r>
  <r>
    <x v="0"/>
    <x v="13"/>
    <x v="13"/>
    <x v="8"/>
    <x v="8"/>
    <x v="8"/>
    <x v="12"/>
    <x v="154"/>
    <x v="46"/>
    <x v="72"/>
    <x v="205"/>
    <x v="128"/>
    <x v="168"/>
    <x v="2"/>
  </r>
  <r>
    <x v="0"/>
    <x v="13"/>
    <x v="13"/>
    <x v="21"/>
    <x v="21"/>
    <x v="21"/>
    <x v="13"/>
    <x v="47"/>
    <x v="34"/>
    <x v="126"/>
    <x v="13"/>
    <x v="53"/>
    <x v="142"/>
    <x v="2"/>
  </r>
  <r>
    <x v="0"/>
    <x v="13"/>
    <x v="13"/>
    <x v="14"/>
    <x v="14"/>
    <x v="14"/>
    <x v="14"/>
    <x v="117"/>
    <x v="84"/>
    <x v="84"/>
    <x v="206"/>
    <x v="116"/>
    <x v="161"/>
    <x v="2"/>
  </r>
  <r>
    <x v="0"/>
    <x v="13"/>
    <x v="13"/>
    <x v="9"/>
    <x v="9"/>
    <x v="9"/>
    <x v="15"/>
    <x v="155"/>
    <x v="70"/>
    <x v="31"/>
    <x v="151"/>
    <x v="129"/>
    <x v="169"/>
    <x v="2"/>
  </r>
  <r>
    <x v="0"/>
    <x v="13"/>
    <x v="13"/>
    <x v="18"/>
    <x v="18"/>
    <x v="18"/>
    <x v="16"/>
    <x v="93"/>
    <x v="49"/>
    <x v="62"/>
    <x v="97"/>
    <x v="101"/>
    <x v="35"/>
    <x v="0"/>
  </r>
  <r>
    <x v="0"/>
    <x v="13"/>
    <x v="13"/>
    <x v="45"/>
    <x v="45"/>
    <x v="45"/>
    <x v="17"/>
    <x v="156"/>
    <x v="159"/>
    <x v="65"/>
    <x v="207"/>
    <x v="46"/>
    <x v="170"/>
    <x v="2"/>
  </r>
  <r>
    <x v="0"/>
    <x v="13"/>
    <x v="13"/>
    <x v="17"/>
    <x v="17"/>
    <x v="17"/>
    <x v="18"/>
    <x v="85"/>
    <x v="122"/>
    <x v="33"/>
    <x v="208"/>
    <x v="130"/>
    <x v="171"/>
    <x v="2"/>
  </r>
  <r>
    <x v="0"/>
    <x v="13"/>
    <x v="13"/>
    <x v="26"/>
    <x v="26"/>
    <x v="26"/>
    <x v="19"/>
    <x v="157"/>
    <x v="160"/>
    <x v="87"/>
    <x v="209"/>
    <x v="101"/>
    <x v="35"/>
    <x v="2"/>
  </r>
  <r>
    <x v="0"/>
    <x v="14"/>
    <x v="14"/>
    <x v="0"/>
    <x v="0"/>
    <x v="0"/>
    <x v="0"/>
    <x v="116"/>
    <x v="106"/>
    <x v="127"/>
    <x v="210"/>
    <x v="46"/>
    <x v="5"/>
    <x v="2"/>
  </r>
  <r>
    <x v="0"/>
    <x v="14"/>
    <x v="14"/>
    <x v="2"/>
    <x v="2"/>
    <x v="2"/>
    <x v="1"/>
    <x v="117"/>
    <x v="161"/>
    <x v="128"/>
    <x v="211"/>
    <x v="69"/>
    <x v="172"/>
    <x v="2"/>
  </r>
  <r>
    <x v="0"/>
    <x v="14"/>
    <x v="14"/>
    <x v="1"/>
    <x v="1"/>
    <x v="1"/>
    <x v="2"/>
    <x v="158"/>
    <x v="162"/>
    <x v="84"/>
    <x v="212"/>
    <x v="77"/>
    <x v="116"/>
    <x v="2"/>
  </r>
  <r>
    <x v="0"/>
    <x v="14"/>
    <x v="14"/>
    <x v="12"/>
    <x v="12"/>
    <x v="12"/>
    <x v="3"/>
    <x v="159"/>
    <x v="163"/>
    <x v="73"/>
    <x v="49"/>
    <x v="41"/>
    <x v="173"/>
    <x v="2"/>
  </r>
  <r>
    <x v="0"/>
    <x v="14"/>
    <x v="14"/>
    <x v="3"/>
    <x v="3"/>
    <x v="3"/>
    <x v="4"/>
    <x v="52"/>
    <x v="164"/>
    <x v="67"/>
    <x v="64"/>
    <x v="82"/>
    <x v="174"/>
    <x v="2"/>
  </r>
  <r>
    <x v="0"/>
    <x v="14"/>
    <x v="14"/>
    <x v="4"/>
    <x v="4"/>
    <x v="4"/>
    <x v="5"/>
    <x v="56"/>
    <x v="6"/>
    <x v="129"/>
    <x v="26"/>
    <x v="65"/>
    <x v="101"/>
    <x v="2"/>
  </r>
  <r>
    <x v="0"/>
    <x v="14"/>
    <x v="14"/>
    <x v="11"/>
    <x v="11"/>
    <x v="11"/>
    <x v="6"/>
    <x v="142"/>
    <x v="27"/>
    <x v="81"/>
    <x v="213"/>
    <x v="86"/>
    <x v="130"/>
    <x v="2"/>
  </r>
  <r>
    <x v="0"/>
    <x v="14"/>
    <x v="14"/>
    <x v="13"/>
    <x v="13"/>
    <x v="13"/>
    <x v="6"/>
    <x v="142"/>
    <x v="27"/>
    <x v="116"/>
    <x v="214"/>
    <x v="84"/>
    <x v="92"/>
    <x v="2"/>
  </r>
  <r>
    <x v="0"/>
    <x v="14"/>
    <x v="14"/>
    <x v="9"/>
    <x v="9"/>
    <x v="9"/>
    <x v="8"/>
    <x v="90"/>
    <x v="165"/>
    <x v="31"/>
    <x v="149"/>
    <x v="131"/>
    <x v="175"/>
    <x v="2"/>
  </r>
  <r>
    <x v="0"/>
    <x v="14"/>
    <x v="14"/>
    <x v="5"/>
    <x v="5"/>
    <x v="5"/>
    <x v="8"/>
    <x v="90"/>
    <x v="165"/>
    <x v="130"/>
    <x v="215"/>
    <x v="117"/>
    <x v="176"/>
    <x v="2"/>
  </r>
  <r>
    <x v="0"/>
    <x v="14"/>
    <x v="14"/>
    <x v="6"/>
    <x v="6"/>
    <x v="6"/>
    <x v="10"/>
    <x v="91"/>
    <x v="166"/>
    <x v="54"/>
    <x v="216"/>
    <x v="66"/>
    <x v="177"/>
    <x v="2"/>
  </r>
  <r>
    <x v="0"/>
    <x v="14"/>
    <x v="14"/>
    <x v="17"/>
    <x v="17"/>
    <x v="17"/>
    <x v="11"/>
    <x v="61"/>
    <x v="59"/>
    <x v="72"/>
    <x v="54"/>
    <x v="119"/>
    <x v="26"/>
    <x v="2"/>
  </r>
  <r>
    <x v="0"/>
    <x v="14"/>
    <x v="14"/>
    <x v="16"/>
    <x v="16"/>
    <x v="16"/>
    <x v="12"/>
    <x v="94"/>
    <x v="30"/>
    <x v="52"/>
    <x v="217"/>
    <x v="75"/>
    <x v="178"/>
    <x v="2"/>
  </r>
  <r>
    <x v="0"/>
    <x v="14"/>
    <x v="14"/>
    <x v="7"/>
    <x v="7"/>
    <x v="7"/>
    <x v="13"/>
    <x v="65"/>
    <x v="13"/>
    <x v="62"/>
    <x v="218"/>
    <x v="47"/>
    <x v="147"/>
    <x v="0"/>
  </r>
  <r>
    <x v="0"/>
    <x v="14"/>
    <x v="14"/>
    <x v="10"/>
    <x v="10"/>
    <x v="10"/>
    <x v="14"/>
    <x v="66"/>
    <x v="120"/>
    <x v="31"/>
    <x v="149"/>
    <x v="87"/>
    <x v="179"/>
    <x v="2"/>
  </r>
  <r>
    <x v="0"/>
    <x v="14"/>
    <x v="14"/>
    <x v="19"/>
    <x v="19"/>
    <x v="19"/>
    <x v="15"/>
    <x v="69"/>
    <x v="48"/>
    <x v="72"/>
    <x v="54"/>
    <x v="50"/>
    <x v="180"/>
    <x v="2"/>
  </r>
  <r>
    <x v="0"/>
    <x v="14"/>
    <x v="14"/>
    <x v="8"/>
    <x v="8"/>
    <x v="8"/>
    <x v="15"/>
    <x v="69"/>
    <x v="48"/>
    <x v="31"/>
    <x v="149"/>
    <x v="70"/>
    <x v="18"/>
    <x v="2"/>
  </r>
  <r>
    <x v="0"/>
    <x v="14"/>
    <x v="14"/>
    <x v="21"/>
    <x v="21"/>
    <x v="21"/>
    <x v="17"/>
    <x v="92"/>
    <x v="135"/>
    <x v="69"/>
    <x v="219"/>
    <x v="82"/>
    <x v="174"/>
    <x v="2"/>
  </r>
  <r>
    <x v="0"/>
    <x v="14"/>
    <x v="14"/>
    <x v="18"/>
    <x v="18"/>
    <x v="18"/>
    <x v="18"/>
    <x v="70"/>
    <x v="97"/>
    <x v="72"/>
    <x v="54"/>
    <x v="84"/>
    <x v="92"/>
    <x v="2"/>
  </r>
  <r>
    <x v="0"/>
    <x v="14"/>
    <x v="14"/>
    <x v="48"/>
    <x v="48"/>
    <x v="48"/>
    <x v="19"/>
    <x v="72"/>
    <x v="124"/>
    <x v="60"/>
    <x v="107"/>
    <x v="88"/>
    <x v="74"/>
    <x v="2"/>
  </r>
  <r>
    <x v="0"/>
    <x v="14"/>
    <x v="14"/>
    <x v="39"/>
    <x v="39"/>
    <x v="39"/>
    <x v="19"/>
    <x v="72"/>
    <x v="124"/>
    <x v="49"/>
    <x v="220"/>
    <x v="61"/>
    <x v="181"/>
    <x v="2"/>
  </r>
  <r>
    <x v="0"/>
    <x v="14"/>
    <x v="14"/>
    <x v="20"/>
    <x v="20"/>
    <x v="20"/>
    <x v="19"/>
    <x v="72"/>
    <x v="124"/>
    <x v="73"/>
    <x v="49"/>
    <x v="54"/>
    <x v="117"/>
    <x v="2"/>
  </r>
  <r>
    <x v="0"/>
    <x v="15"/>
    <x v="15"/>
    <x v="0"/>
    <x v="0"/>
    <x v="0"/>
    <x v="0"/>
    <x v="132"/>
    <x v="167"/>
    <x v="131"/>
    <x v="221"/>
    <x v="47"/>
    <x v="109"/>
    <x v="2"/>
  </r>
  <r>
    <x v="0"/>
    <x v="15"/>
    <x v="15"/>
    <x v="2"/>
    <x v="2"/>
    <x v="2"/>
    <x v="1"/>
    <x v="93"/>
    <x v="168"/>
    <x v="43"/>
    <x v="222"/>
    <x v="120"/>
    <x v="182"/>
    <x v="2"/>
  </r>
  <r>
    <x v="0"/>
    <x v="15"/>
    <x v="15"/>
    <x v="4"/>
    <x v="4"/>
    <x v="4"/>
    <x v="2"/>
    <x v="160"/>
    <x v="86"/>
    <x v="132"/>
    <x v="223"/>
    <x v="65"/>
    <x v="176"/>
    <x v="2"/>
  </r>
  <r>
    <x v="0"/>
    <x v="15"/>
    <x v="15"/>
    <x v="3"/>
    <x v="3"/>
    <x v="3"/>
    <x v="3"/>
    <x v="88"/>
    <x v="169"/>
    <x v="77"/>
    <x v="125"/>
    <x v="73"/>
    <x v="47"/>
    <x v="2"/>
  </r>
  <r>
    <x v="0"/>
    <x v="15"/>
    <x v="15"/>
    <x v="5"/>
    <x v="5"/>
    <x v="5"/>
    <x v="4"/>
    <x v="135"/>
    <x v="170"/>
    <x v="133"/>
    <x v="224"/>
    <x v="82"/>
    <x v="80"/>
    <x v="2"/>
  </r>
  <r>
    <x v="0"/>
    <x v="15"/>
    <x v="15"/>
    <x v="10"/>
    <x v="10"/>
    <x v="10"/>
    <x v="5"/>
    <x v="65"/>
    <x v="171"/>
    <x v="31"/>
    <x v="18"/>
    <x v="85"/>
    <x v="183"/>
    <x v="2"/>
  </r>
  <r>
    <x v="0"/>
    <x v="15"/>
    <x v="15"/>
    <x v="1"/>
    <x v="1"/>
    <x v="1"/>
    <x v="6"/>
    <x v="143"/>
    <x v="172"/>
    <x v="48"/>
    <x v="225"/>
    <x v="119"/>
    <x v="36"/>
    <x v="2"/>
  </r>
  <r>
    <x v="0"/>
    <x v="15"/>
    <x v="15"/>
    <x v="25"/>
    <x v="25"/>
    <x v="25"/>
    <x v="7"/>
    <x v="69"/>
    <x v="91"/>
    <x v="48"/>
    <x v="225"/>
    <x v="77"/>
    <x v="184"/>
    <x v="2"/>
  </r>
  <r>
    <x v="0"/>
    <x v="15"/>
    <x v="15"/>
    <x v="9"/>
    <x v="9"/>
    <x v="9"/>
    <x v="8"/>
    <x v="92"/>
    <x v="80"/>
    <x v="30"/>
    <x v="19"/>
    <x v="64"/>
    <x v="185"/>
    <x v="2"/>
  </r>
  <r>
    <x v="0"/>
    <x v="15"/>
    <x v="15"/>
    <x v="7"/>
    <x v="7"/>
    <x v="7"/>
    <x v="9"/>
    <x v="70"/>
    <x v="57"/>
    <x v="64"/>
    <x v="226"/>
    <x v="33"/>
    <x v="186"/>
    <x v="2"/>
  </r>
  <r>
    <x v="0"/>
    <x v="15"/>
    <x v="15"/>
    <x v="12"/>
    <x v="12"/>
    <x v="12"/>
    <x v="10"/>
    <x v="71"/>
    <x v="111"/>
    <x v="98"/>
    <x v="227"/>
    <x v="88"/>
    <x v="90"/>
    <x v="2"/>
  </r>
  <r>
    <x v="0"/>
    <x v="15"/>
    <x v="15"/>
    <x v="8"/>
    <x v="8"/>
    <x v="8"/>
    <x v="11"/>
    <x v="80"/>
    <x v="173"/>
    <x v="80"/>
    <x v="28"/>
    <x v="72"/>
    <x v="187"/>
    <x v="2"/>
  </r>
  <r>
    <x v="0"/>
    <x v="15"/>
    <x v="15"/>
    <x v="6"/>
    <x v="6"/>
    <x v="6"/>
    <x v="12"/>
    <x v="81"/>
    <x v="60"/>
    <x v="78"/>
    <x v="228"/>
    <x v="46"/>
    <x v="74"/>
    <x v="2"/>
  </r>
  <r>
    <x v="0"/>
    <x v="15"/>
    <x v="15"/>
    <x v="13"/>
    <x v="13"/>
    <x v="13"/>
    <x v="12"/>
    <x v="81"/>
    <x v="60"/>
    <x v="49"/>
    <x v="188"/>
    <x v="74"/>
    <x v="24"/>
    <x v="2"/>
  </r>
  <r>
    <x v="0"/>
    <x v="15"/>
    <x v="15"/>
    <x v="21"/>
    <x v="21"/>
    <x v="21"/>
    <x v="14"/>
    <x v="82"/>
    <x v="61"/>
    <x v="79"/>
    <x v="229"/>
    <x v="46"/>
    <x v="74"/>
    <x v="2"/>
  </r>
  <r>
    <x v="0"/>
    <x v="15"/>
    <x v="15"/>
    <x v="39"/>
    <x v="39"/>
    <x v="39"/>
    <x v="15"/>
    <x v="83"/>
    <x v="119"/>
    <x v="81"/>
    <x v="230"/>
    <x v="65"/>
    <x v="176"/>
    <x v="2"/>
  </r>
  <r>
    <x v="0"/>
    <x v="15"/>
    <x v="15"/>
    <x v="14"/>
    <x v="14"/>
    <x v="14"/>
    <x v="15"/>
    <x v="83"/>
    <x v="119"/>
    <x v="79"/>
    <x v="229"/>
    <x v="68"/>
    <x v="3"/>
    <x v="2"/>
  </r>
  <r>
    <x v="0"/>
    <x v="15"/>
    <x v="15"/>
    <x v="20"/>
    <x v="20"/>
    <x v="20"/>
    <x v="15"/>
    <x v="83"/>
    <x v="119"/>
    <x v="69"/>
    <x v="216"/>
    <x v="132"/>
    <x v="188"/>
    <x v="2"/>
  </r>
  <r>
    <x v="0"/>
    <x v="15"/>
    <x v="15"/>
    <x v="11"/>
    <x v="11"/>
    <x v="11"/>
    <x v="18"/>
    <x v="136"/>
    <x v="15"/>
    <x v="72"/>
    <x v="187"/>
    <x v="121"/>
    <x v="189"/>
    <x v="2"/>
  </r>
  <r>
    <x v="0"/>
    <x v="15"/>
    <x v="15"/>
    <x v="30"/>
    <x v="30"/>
    <x v="30"/>
    <x v="19"/>
    <x v="95"/>
    <x v="18"/>
    <x v="98"/>
    <x v="227"/>
    <x v="46"/>
    <x v="74"/>
    <x v="2"/>
  </r>
  <r>
    <x v="0"/>
    <x v="15"/>
    <x v="15"/>
    <x v="22"/>
    <x v="22"/>
    <x v="22"/>
    <x v="19"/>
    <x v="95"/>
    <x v="18"/>
    <x v="33"/>
    <x v="231"/>
    <x v="47"/>
    <x v="109"/>
    <x v="2"/>
  </r>
  <r>
    <x v="0"/>
    <x v="15"/>
    <x v="15"/>
    <x v="29"/>
    <x v="29"/>
    <x v="29"/>
    <x v="19"/>
    <x v="95"/>
    <x v="18"/>
    <x v="44"/>
    <x v="129"/>
    <x v="120"/>
    <x v="182"/>
    <x v="2"/>
  </r>
  <r>
    <x v="0"/>
    <x v="16"/>
    <x v="16"/>
    <x v="0"/>
    <x v="0"/>
    <x v="0"/>
    <x v="0"/>
    <x v="161"/>
    <x v="20"/>
    <x v="95"/>
    <x v="232"/>
    <x v="66"/>
    <x v="190"/>
    <x v="2"/>
  </r>
  <r>
    <x v="0"/>
    <x v="16"/>
    <x v="16"/>
    <x v="1"/>
    <x v="1"/>
    <x v="1"/>
    <x v="1"/>
    <x v="157"/>
    <x v="174"/>
    <x v="62"/>
    <x v="233"/>
    <x v="95"/>
    <x v="105"/>
    <x v="2"/>
  </r>
  <r>
    <x v="0"/>
    <x v="16"/>
    <x v="16"/>
    <x v="2"/>
    <x v="2"/>
    <x v="2"/>
    <x v="2"/>
    <x v="60"/>
    <x v="175"/>
    <x v="134"/>
    <x v="106"/>
    <x v="61"/>
    <x v="191"/>
    <x v="2"/>
  </r>
  <r>
    <x v="0"/>
    <x v="16"/>
    <x v="16"/>
    <x v="3"/>
    <x v="3"/>
    <x v="3"/>
    <x v="3"/>
    <x v="120"/>
    <x v="38"/>
    <x v="110"/>
    <x v="234"/>
    <x v="79"/>
    <x v="35"/>
    <x v="2"/>
  </r>
  <r>
    <x v="0"/>
    <x v="16"/>
    <x v="16"/>
    <x v="7"/>
    <x v="7"/>
    <x v="7"/>
    <x v="4"/>
    <x v="134"/>
    <x v="115"/>
    <x v="62"/>
    <x v="233"/>
    <x v="67"/>
    <x v="69"/>
    <x v="2"/>
  </r>
  <r>
    <x v="0"/>
    <x v="16"/>
    <x v="16"/>
    <x v="5"/>
    <x v="5"/>
    <x v="5"/>
    <x v="5"/>
    <x v="57"/>
    <x v="176"/>
    <x v="125"/>
    <x v="235"/>
    <x v="120"/>
    <x v="192"/>
    <x v="2"/>
  </r>
  <r>
    <x v="0"/>
    <x v="16"/>
    <x v="16"/>
    <x v="10"/>
    <x v="10"/>
    <x v="10"/>
    <x v="6"/>
    <x v="142"/>
    <x v="177"/>
    <x v="30"/>
    <x v="236"/>
    <x v="94"/>
    <x v="75"/>
    <x v="2"/>
  </r>
  <r>
    <x v="0"/>
    <x v="16"/>
    <x v="16"/>
    <x v="4"/>
    <x v="4"/>
    <x v="4"/>
    <x v="7"/>
    <x v="90"/>
    <x v="24"/>
    <x v="77"/>
    <x v="237"/>
    <x v="61"/>
    <x v="191"/>
    <x v="2"/>
  </r>
  <r>
    <x v="0"/>
    <x v="16"/>
    <x v="16"/>
    <x v="16"/>
    <x v="16"/>
    <x v="16"/>
    <x v="8"/>
    <x v="61"/>
    <x v="27"/>
    <x v="52"/>
    <x v="205"/>
    <x v="131"/>
    <x v="108"/>
    <x v="2"/>
  </r>
  <r>
    <x v="0"/>
    <x v="16"/>
    <x v="16"/>
    <x v="11"/>
    <x v="11"/>
    <x v="11"/>
    <x v="9"/>
    <x v="63"/>
    <x v="178"/>
    <x v="78"/>
    <x v="130"/>
    <x v="123"/>
    <x v="17"/>
    <x v="2"/>
  </r>
  <r>
    <x v="0"/>
    <x v="16"/>
    <x v="16"/>
    <x v="42"/>
    <x v="42"/>
    <x v="42"/>
    <x v="10"/>
    <x v="77"/>
    <x v="59"/>
    <x v="63"/>
    <x v="238"/>
    <x v="73"/>
    <x v="193"/>
    <x v="2"/>
  </r>
  <r>
    <x v="0"/>
    <x v="16"/>
    <x v="16"/>
    <x v="30"/>
    <x v="30"/>
    <x v="30"/>
    <x v="11"/>
    <x v="64"/>
    <x v="30"/>
    <x v="80"/>
    <x v="239"/>
    <x v="67"/>
    <x v="69"/>
    <x v="2"/>
  </r>
  <r>
    <x v="0"/>
    <x v="16"/>
    <x v="16"/>
    <x v="17"/>
    <x v="17"/>
    <x v="17"/>
    <x v="12"/>
    <x v="65"/>
    <x v="9"/>
    <x v="27"/>
    <x v="240"/>
    <x v="87"/>
    <x v="109"/>
    <x v="2"/>
  </r>
  <r>
    <x v="0"/>
    <x v="16"/>
    <x v="16"/>
    <x v="14"/>
    <x v="14"/>
    <x v="14"/>
    <x v="12"/>
    <x v="65"/>
    <x v="9"/>
    <x v="70"/>
    <x v="241"/>
    <x v="50"/>
    <x v="122"/>
    <x v="2"/>
  </r>
  <r>
    <x v="0"/>
    <x v="16"/>
    <x v="16"/>
    <x v="6"/>
    <x v="6"/>
    <x v="6"/>
    <x v="12"/>
    <x v="65"/>
    <x v="9"/>
    <x v="29"/>
    <x v="242"/>
    <x v="84"/>
    <x v="194"/>
    <x v="2"/>
  </r>
  <r>
    <x v="0"/>
    <x v="16"/>
    <x v="16"/>
    <x v="39"/>
    <x v="39"/>
    <x v="39"/>
    <x v="15"/>
    <x v="67"/>
    <x v="61"/>
    <x v="75"/>
    <x v="86"/>
    <x v="89"/>
    <x v="23"/>
    <x v="2"/>
  </r>
  <r>
    <x v="0"/>
    <x v="16"/>
    <x v="16"/>
    <x v="19"/>
    <x v="19"/>
    <x v="19"/>
    <x v="16"/>
    <x v="70"/>
    <x v="84"/>
    <x v="52"/>
    <x v="205"/>
    <x v="64"/>
    <x v="195"/>
    <x v="2"/>
  </r>
  <r>
    <x v="0"/>
    <x v="16"/>
    <x v="16"/>
    <x v="8"/>
    <x v="8"/>
    <x v="8"/>
    <x v="16"/>
    <x v="70"/>
    <x v="84"/>
    <x v="80"/>
    <x v="239"/>
    <x v="104"/>
    <x v="196"/>
    <x v="2"/>
  </r>
  <r>
    <x v="0"/>
    <x v="16"/>
    <x v="16"/>
    <x v="35"/>
    <x v="35"/>
    <x v="35"/>
    <x v="16"/>
    <x v="70"/>
    <x v="84"/>
    <x v="30"/>
    <x v="236"/>
    <x v="70"/>
    <x v="197"/>
    <x v="2"/>
  </r>
  <r>
    <x v="0"/>
    <x v="16"/>
    <x v="16"/>
    <x v="32"/>
    <x v="32"/>
    <x v="32"/>
    <x v="16"/>
    <x v="70"/>
    <x v="84"/>
    <x v="64"/>
    <x v="219"/>
    <x v="33"/>
    <x v="198"/>
    <x v="2"/>
  </r>
  <r>
    <x v="0"/>
    <x v="17"/>
    <x v="17"/>
    <x v="0"/>
    <x v="0"/>
    <x v="0"/>
    <x v="0"/>
    <x v="162"/>
    <x v="179"/>
    <x v="135"/>
    <x v="243"/>
    <x v="44"/>
    <x v="196"/>
    <x v="2"/>
  </r>
  <r>
    <x v="0"/>
    <x v="17"/>
    <x v="17"/>
    <x v="2"/>
    <x v="2"/>
    <x v="2"/>
    <x v="1"/>
    <x v="133"/>
    <x v="180"/>
    <x v="136"/>
    <x v="244"/>
    <x v="117"/>
    <x v="148"/>
    <x v="2"/>
  </r>
  <r>
    <x v="0"/>
    <x v="17"/>
    <x v="17"/>
    <x v="1"/>
    <x v="1"/>
    <x v="1"/>
    <x v="2"/>
    <x v="50"/>
    <x v="181"/>
    <x v="75"/>
    <x v="245"/>
    <x v="105"/>
    <x v="199"/>
    <x v="2"/>
  </r>
  <r>
    <x v="0"/>
    <x v="17"/>
    <x v="17"/>
    <x v="3"/>
    <x v="3"/>
    <x v="3"/>
    <x v="3"/>
    <x v="120"/>
    <x v="169"/>
    <x v="108"/>
    <x v="234"/>
    <x v="47"/>
    <x v="200"/>
    <x v="2"/>
  </r>
  <r>
    <x v="0"/>
    <x v="17"/>
    <x v="17"/>
    <x v="5"/>
    <x v="5"/>
    <x v="5"/>
    <x v="3"/>
    <x v="120"/>
    <x v="169"/>
    <x v="105"/>
    <x v="246"/>
    <x v="73"/>
    <x v="201"/>
    <x v="2"/>
  </r>
  <r>
    <x v="0"/>
    <x v="17"/>
    <x v="17"/>
    <x v="6"/>
    <x v="6"/>
    <x v="6"/>
    <x v="5"/>
    <x v="163"/>
    <x v="73"/>
    <x v="96"/>
    <x v="3"/>
    <x v="72"/>
    <x v="202"/>
    <x v="2"/>
  </r>
  <r>
    <x v="0"/>
    <x v="17"/>
    <x v="17"/>
    <x v="4"/>
    <x v="4"/>
    <x v="4"/>
    <x v="6"/>
    <x v="86"/>
    <x v="182"/>
    <x v="51"/>
    <x v="247"/>
    <x v="120"/>
    <x v="203"/>
    <x v="2"/>
  </r>
  <r>
    <x v="0"/>
    <x v="17"/>
    <x v="17"/>
    <x v="12"/>
    <x v="12"/>
    <x v="12"/>
    <x v="7"/>
    <x v="91"/>
    <x v="79"/>
    <x v="72"/>
    <x v="248"/>
    <x v="40"/>
    <x v="204"/>
    <x v="2"/>
  </r>
  <r>
    <x v="0"/>
    <x v="17"/>
    <x v="17"/>
    <x v="13"/>
    <x v="13"/>
    <x v="13"/>
    <x v="8"/>
    <x v="61"/>
    <x v="183"/>
    <x v="49"/>
    <x v="249"/>
    <x v="44"/>
    <x v="196"/>
    <x v="2"/>
  </r>
  <r>
    <x v="0"/>
    <x v="17"/>
    <x v="17"/>
    <x v="7"/>
    <x v="7"/>
    <x v="7"/>
    <x v="9"/>
    <x v="64"/>
    <x v="184"/>
    <x v="29"/>
    <x v="129"/>
    <x v="58"/>
    <x v="87"/>
    <x v="2"/>
  </r>
  <r>
    <x v="0"/>
    <x v="17"/>
    <x v="17"/>
    <x v="16"/>
    <x v="16"/>
    <x v="16"/>
    <x v="10"/>
    <x v="65"/>
    <x v="68"/>
    <x v="59"/>
    <x v="160"/>
    <x v="40"/>
    <x v="204"/>
    <x v="2"/>
  </r>
  <r>
    <x v="0"/>
    <x v="17"/>
    <x v="17"/>
    <x v="18"/>
    <x v="18"/>
    <x v="18"/>
    <x v="10"/>
    <x v="65"/>
    <x v="68"/>
    <x v="98"/>
    <x v="250"/>
    <x v="86"/>
    <x v="205"/>
    <x v="2"/>
  </r>
  <r>
    <x v="0"/>
    <x v="17"/>
    <x v="17"/>
    <x v="47"/>
    <x v="47"/>
    <x v="47"/>
    <x v="12"/>
    <x v="66"/>
    <x v="11"/>
    <x v="15"/>
    <x v="95"/>
    <x v="117"/>
    <x v="148"/>
    <x v="2"/>
  </r>
  <r>
    <x v="0"/>
    <x v="17"/>
    <x v="17"/>
    <x v="14"/>
    <x v="14"/>
    <x v="14"/>
    <x v="13"/>
    <x v="67"/>
    <x v="158"/>
    <x v="78"/>
    <x v="114"/>
    <x v="84"/>
    <x v="126"/>
    <x v="2"/>
  </r>
  <r>
    <x v="0"/>
    <x v="17"/>
    <x v="17"/>
    <x v="19"/>
    <x v="19"/>
    <x v="19"/>
    <x v="14"/>
    <x v="68"/>
    <x v="61"/>
    <x v="33"/>
    <x v="251"/>
    <x v="63"/>
    <x v="206"/>
    <x v="2"/>
  </r>
  <r>
    <x v="0"/>
    <x v="17"/>
    <x v="17"/>
    <x v="29"/>
    <x v="29"/>
    <x v="29"/>
    <x v="14"/>
    <x v="68"/>
    <x v="61"/>
    <x v="26"/>
    <x v="252"/>
    <x v="46"/>
    <x v="207"/>
    <x v="2"/>
  </r>
  <r>
    <x v="0"/>
    <x v="17"/>
    <x v="17"/>
    <x v="10"/>
    <x v="10"/>
    <x v="10"/>
    <x v="16"/>
    <x v="92"/>
    <x v="145"/>
    <x v="53"/>
    <x v="57"/>
    <x v="85"/>
    <x v="208"/>
    <x v="2"/>
  </r>
  <r>
    <x v="0"/>
    <x v="17"/>
    <x v="17"/>
    <x v="11"/>
    <x v="11"/>
    <x v="11"/>
    <x v="17"/>
    <x v="70"/>
    <x v="47"/>
    <x v="98"/>
    <x v="250"/>
    <x v="72"/>
    <x v="202"/>
    <x v="2"/>
  </r>
  <r>
    <x v="0"/>
    <x v="17"/>
    <x v="17"/>
    <x v="22"/>
    <x v="22"/>
    <x v="22"/>
    <x v="18"/>
    <x v="79"/>
    <x v="84"/>
    <x v="98"/>
    <x v="250"/>
    <x v="88"/>
    <x v="209"/>
    <x v="0"/>
  </r>
  <r>
    <x v="0"/>
    <x v="17"/>
    <x v="17"/>
    <x v="17"/>
    <x v="17"/>
    <x v="17"/>
    <x v="19"/>
    <x v="72"/>
    <x v="185"/>
    <x v="30"/>
    <x v="10"/>
    <x v="104"/>
    <x v="157"/>
    <x v="2"/>
  </r>
  <r>
    <x v="0"/>
    <x v="17"/>
    <x v="17"/>
    <x v="9"/>
    <x v="9"/>
    <x v="9"/>
    <x v="19"/>
    <x v="72"/>
    <x v="185"/>
    <x v="31"/>
    <x v="91"/>
    <x v="79"/>
    <x v="45"/>
    <x v="2"/>
  </r>
  <r>
    <x v="0"/>
    <x v="18"/>
    <x v="18"/>
    <x v="0"/>
    <x v="0"/>
    <x v="0"/>
    <x v="0"/>
    <x v="164"/>
    <x v="186"/>
    <x v="137"/>
    <x v="253"/>
    <x v="117"/>
    <x v="190"/>
    <x v="2"/>
  </r>
  <r>
    <x v="0"/>
    <x v="18"/>
    <x v="18"/>
    <x v="4"/>
    <x v="4"/>
    <x v="4"/>
    <x v="1"/>
    <x v="57"/>
    <x v="187"/>
    <x v="111"/>
    <x v="254"/>
    <x v="65"/>
    <x v="58"/>
    <x v="2"/>
  </r>
  <r>
    <x v="0"/>
    <x v="18"/>
    <x v="18"/>
    <x v="2"/>
    <x v="2"/>
    <x v="2"/>
    <x v="2"/>
    <x v="89"/>
    <x v="188"/>
    <x v="110"/>
    <x v="255"/>
    <x v="69"/>
    <x v="176"/>
    <x v="2"/>
  </r>
  <r>
    <x v="0"/>
    <x v="18"/>
    <x v="18"/>
    <x v="1"/>
    <x v="1"/>
    <x v="1"/>
    <x v="3"/>
    <x v="91"/>
    <x v="189"/>
    <x v="69"/>
    <x v="256"/>
    <x v="58"/>
    <x v="210"/>
    <x v="2"/>
  </r>
  <r>
    <x v="0"/>
    <x v="18"/>
    <x v="18"/>
    <x v="13"/>
    <x v="13"/>
    <x v="13"/>
    <x v="4"/>
    <x v="64"/>
    <x v="190"/>
    <x v="116"/>
    <x v="257"/>
    <x v="73"/>
    <x v="157"/>
    <x v="2"/>
  </r>
  <r>
    <x v="0"/>
    <x v="18"/>
    <x v="18"/>
    <x v="3"/>
    <x v="3"/>
    <x v="3"/>
    <x v="5"/>
    <x v="69"/>
    <x v="191"/>
    <x v="86"/>
    <x v="258"/>
    <x v="46"/>
    <x v="17"/>
    <x v="2"/>
  </r>
  <r>
    <x v="0"/>
    <x v="18"/>
    <x v="18"/>
    <x v="5"/>
    <x v="5"/>
    <x v="5"/>
    <x v="6"/>
    <x v="71"/>
    <x v="192"/>
    <x v="138"/>
    <x v="79"/>
    <x v="65"/>
    <x v="58"/>
    <x v="2"/>
  </r>
  <r>
    <x v="0"/>
    <x v="18"/>
    <x v="18"/>
    <x v="17"/>
    <x v="17"/>
    <x v="17"/>
    <x v="7"/>
    <x v="81"/>
    <x v="193"/>
    <x v="31"/>
    <x v="259"/>
    <x v="72"/>
    <x v="173"/>
    <x v="2"/>
  </r>
  <r>
    <x v="0"/>
    <x v="18"/>
    <x v="18"/>
    <x v="8"/>
    <x v="8"/>
    <x v="8"/>
    <x v="8"/>
    <x v="83"/>
    <x v="79"/>
    <x v="31"/>
    <x v="259"/>
    <x v="88"/>
    <x v="211"/>
    <x v="2"/>
  </r>
  <r>
    <x v="0"/>
    <x v="18"/>
    <x v="18"/>
    <x v="10"/>
    <x v="10"/>
    <x v="10"/>
    <x v="9"/>
    <x v="95"/>
    <x v="132"/>
    <x v="59"/>
    <x v="146"/>
    <x v="72"/>
    <x v="173"/>
    <x v="2"/>
  </r>
  <r>
    <x v="0"/>
    <x v="18"/>
    <x v="18"/>
    <x v="7"/>
    <x v="7"/>
    <x v="7"/>
    <x v="9"/>
    <x v="95"/>
    <x v="132"/>
    <x v="70"/>
    <x v="260"/>
    <x v="82"/>
    <x v="37"/>
    <x v="2"/>
  </r>
  <r>
    <x v="0"/>
    <x v="18"/>
    <x v="18"/>
    <x v="6"/>
    <x v="6"/>
    <x v="6"/>
    <x v="11"/>
    <x v="97"/>
    <x v="8"/>
    <x v="29"/>
    <x v="261"/>
    <x v="54"/>
    <x v="63"/>
    <x v="2"/>
  </r>
  <r>
    <x v="0"/>
    <x v="18"/>
    <x v="18"/>
    <x v="11"/>
    <x v="11"/>
    <x v="11"/>
    <x v="12"/>
    <x v="98"/>
    <x v="82"/>
    <x v="50"/>
    <x v="262"/>
    <x v="117"/>
    <x v="190"/>
    <x v="2"/>
  </r>
  <r>
    <x v="0"/>
    <x v="18"/>
    <x v="18"/>
    <x v="19"/>
    <x v="19"/>
    <x v="19"/>
    <x v="12"/>
    <x v="98"/>
    <x v="82"/>
    <x v="33"/>
    <x v="63"/>
    <x v="121"/>
    <x v="89"/>
    <x v="2"/>
  </r>
  <r>
    <x v="0"/>
    <x v="18"/>
    <x v="18"/>
    <x v="9"/>
    <x v="9"/>
    <x v="9"/>
    <x v="12"/>
    <x v="98"/>
    <x v="82"/>
    <x v="30"/>
    <x v="162"/>
    <x v="66"/>
    <x v="154"/>
    <x v="2"/>
  </r>
  <r>
    <x v="0"/>
    <x v="18"/>
    <x v="18"/>
    <x v="12"/>
    <x v="12"/>
    <x v="12"/>
    <x v="15"/>
    <x v="99"/>
    <x v="13"/>
    <x v="33"/>
    <x v="63"/>
    <x v="78"/>
    <x v="32"/>
    <x v="2"/>
  </r>
  <r>
    <x v="0"/>
    <x v="18"/>
    <x v="18"/>
    <x v="26"/>
    <x v="26"/>
    <x v="26"/>
    <x v="16"/>
    <x v="100"/>
    <x v="120"/>
    <x v="30"/>
    <x v="162"/>
    <x v="78"/>
    <x v="32"/>
    <x v="2"/>
  </r>
  <r>
    <x v="0"/>
    <x v="18"/>
    <x v="18"/>
    <x v="15"/>
    <x v="15"/>
    <x v="15"/>
    <x v="17"/>
    <x v="104"/>
    <x v="185"/>
    <x v="53"/>
    <x v="57"/>
    <x v="66"/>
    <x v="154"/>
    <x v="2"/>
  </r>
  <r>
    <x v="0"/>
    <x v="18"/>
    <x v="18"/>
    <x v="25"/>
    <x v="25"/>
    <x v="25"/>
    <x v="18"/>
    <x v="102"/>
    <x v="159"/>
    <x v="59"/>
    <x v="146"/>
    <x v="78"/>
    <x v="32"/>
    <x v="2"/>
  </r>
  <r>
    <x v="0"/>
    <x v="18"/>
    <x v="18"/>
    <x v="16"/>
    <x v="16"/>
    <x v="16"/>
    <x v="18"/>
    <x v="102"/>
    <x v="159"/>
    <x v="52"/>
    <x v="150"/>
    <x v="73"/>
    <x v="157"/>
    <x v="2"/>
  </r>
  <r>
    <x v="0"/>
    <x v="18"/>
    <x v="18"/>
    <x v="29"/>
    <x v="29"/>
    <x v="29"/>
    <x v="18"/>
    <x v="102"/>
    <x v="159"/>
    <x v="98"/>
    <x v="38"/>
    <x v="65"/>
    <x v="58"/>
    <x v="2"/>
  </r>
  <r>
    <x v="0"/>
    <x v="19"/>
    <x v="19"/>
    <x v="0"/>
    <x v="0"/>
    <x v="0"/>
    <x v="0"/>
    <x v="117"/>
    <x v="194"/>
    <x v="93"/>
    <x v="210"/>
    <x v="90"/>
    <x v="31"/>
    <x v="2"/>
  </r>
  <r>
    <x v="0"/>
    <x v="19"/>
    <x v="19"/>
    <x v="4"/>
    <x v="4"/>
    <x v="4"/>
    <x v="1"/>
    <x v="120"/>
    <x v="37"/>
    <x v="139"/>
    <x v="263"/>
    <x v="65"/>
    <x v="160"/>
    <x v="2"/>
  </r>
  <r>
    <x v="0"/>
    <x v="19"/>
    <x v="19"/>
    <x v="2"/>
    <x v="2"/>
    <x v="2"/>
    <x v="2"/>
    <x v="164"/>
    <x v="195"/>
    <x v="140"/>
    <x v="264"/>
    <x v="54"/>
    <x v="212"/>
    <x v="2"/>
  </r>
  <r>
    <x v="0"/>
    <x v="19"/>
    <x v="19"/>
    <x v="11"/>
    <x v="11"/>
    <x v="11"/>
    <x v="3"/>
    <x v="53"/>
    <x v="196"/>
    <x v="58"/>
    <x v="265"/>
    <x v="104"/>
    <x v="213"/>
    <x v="2"/>
  </r>
  <r>
    <x v="0"/>
    <x v="19"/>
    <x v="19"/>
    <x v="3"/>
    <x v="3"/>
    <x v="3"/>
    <x v="4"/>
    <x v="141"/>
    <x v="197"/>
    <x v="110"/>
    <x v="266"/>
    <x v="74"/>
    <x v="193"/>
    <x v="2"/>
  </r>
  <r>
    <x v="0"/>
    <x v="19"/>
    <x v="19"/>
    <x v="14"/>
    <x v="14"/>
    <x v="14"/>
    <x v="5"/>
    <x v="94"/>
    <x v="90"/>
    <x v="141"/>
    <x v="267"/>
    <x v="82"/>
    <x v="47"/>
    <x v="2"/>
  </r>
  <r>
    <x v="0"/>
    <x v="19"/>
    <x v="19"/>
    <x v="13"/>
    <x v="13"/>
    <x v="13"/>
    <x v="5"/>
    <x v="94"/>
    <x v="90"/>
    <x v="117"/>
    <x v="268"/>
    <x v="117"/>
    <x v="214"/>
    <x v="2"/>
  </r>
  <r>
    <x v="0"/>
    <x v="19"/>
    <x v="19"/>
    <x v="8"/>
    <x v="8"/>
    <x v="8"/>
    <x v="7"/>
    <x v="143"/>
    <x v="198"/>
    <x v="86"/>
    <x v="36"/>
    <x v="121"/>
    <x v="9"/>
    <x v="2"/>
  </r>
  <r>
    <x v="0"/>
    <x v="19"/>
    <x v="19"/>
    <x v="1"/>
    <x v="1"/>
    <x v="1"/>
    <x v="8"/>
    <x v="92"/>
    <x v="56"/>
    <x v="44"/>
    <x v="269"/>
    <x v="66"/>
    <x v="215"/>
    <x v="2"/>
  </r>
  <r>
    <x v="0"/>
    <x v="19"/>
    <x v="19"/>
    <x v="10"/>
    <x v="10"/>
    <x v="10"/>
    <x v="9"/>
    <x v="70"/>
    <x v="25"/>
    <x v="52"/>
    <x v="217"/>
    <x v="64"/>
    <x v="216"/>
    <x v="2"/>
  </r>
  <r>
    <x v="0"/>
    <x v="19"/>
    <x v="19"/>
    <x v="12"/>
    <x v="12"/>
    <x v="12"/>
    <x v="9"/>
    <x v="70"/>
    <x v="25"/>
    <x v="29"/>
    <x v="270"/>
    <x v="78"/>
    <x v="217"/>
    <x v="2"/>
  </r>
  <r>
    <x v="0"/>
    <x v="19"/>
    <x v="19"/>
    <x v="17"/>
    <x v="17"/>
    <x v="17"/>
    <x v="11"/>
    <x v="79"/>
    <x v="199"/>
    <x v="60"/>
    <x v="259"/>
    <x v="72"/>
    <x v="218"/>
    <x v="2"/>
  </r>
  <r>
    <x v="0"/>
    <x v="19"/>
    <x v="19"/>
    <x v="5"/>
    <x v="5"/>
    <x v="5"/>
    <x v="12"/>
    <x v="71"/>
    <x v="166"/>
    <x v="15"/>
    <x v="51"/>
    <x v="132"/>
    <x v="188"/>
    <x v="2"/>
  </r>
  <r>
    <x v="0"/>
    <x v="19"/>
    <x v="19"/>
    <x v="9"/>
    <x v="9"/>
    <x v="9"/>
    <x v="13"/>
    <x v="72"/>
    <x v="117"/>
    <x v="70"/>
    <x v="101"/>
    <x v="66"/>
    <x v="215"/>
    <x v="2"/>
  </r>
  <r>
    <x v="0"/>
    <x v="19"/>
    <x v="19"/>
    <x v="7"/>
    <x v="7"/>
    <x v="7"/>
    <x v="14"/>
    <x v="73"/>
    <x v="30"/>
    <x v="64"/>
    <x v="228"/>
    <x v="42"/>
    <x v="219"/>
    <x v="2"/>
  </r>
  <r>
    <x v="0"/>
    <x v="19"/>
    <x v="19"/>
    <x v="49"/>
    <x v="49"/>
    <x v="49"/>
    <x v="15"/>
    <x v="80"/>
    <x v="94"/>
    <x v="61"/>
    <x v="271"/>
    <x v="54"/>
    <x v="212"/>
    <x v="2"/>
  </r>
  <r>
    <x v="0"/>
    <x v="19"/>
    <x v="19"/>
    <x v="22"/>
    <x v="22"/>
    <x v="22"/>
    <x v="16"/>
    <x v="81"/>
    <x v="31"/>
    <x v="70"/>
    <x v="101"/>
    <x v="33"/>
    <x v="32"/>
    <x v="2"/>
  </r>
  <r>
    <x v="0"/>
    <x v="19"/>
    <x v="19"/>
    <x v="42"/>
    <x v="42"/>
    <x v="42"/>
    <x v="17"/>
    <x v="82"/>
    <x v="83"/>
    <x v="49"/>
    <x v="86"/>
    <x v="65"/>
    <x v="160"/>
    <x v="2"/>
  </r>
  <r>
    <x v="0"/>
    <x v="19"/>
    <x v="19"/>
    <x v="39"/>
    <x v="39"/>
    <x v="39"/>
    <x v="18"/>
    <x v="83"/>
    <x v="95"/>
    <x v="64"/>
    <x v="228"/>
    <x v="120"/>
    <x v="71"/>
    <x v="2"/>
  </r>
  <r>
    <x v="0"/>
    <x v="19"/>
    <x v="19"/>
    <x v="40"/>
    <x v="40"/>
    <x v="40"/>
    <x v="19"/>
    <x v="136"/>
    <x v="145"/>
    <x v="27"/>
    <x v="83"/>
    <x v="76"/>
    <x v="220"/>
    <x v="2"/>
  </r>
  <r>
    <x v="0"/>
    <x v="20"/>
    <x v="20"/>
    <x v="1"/>
    <x v="1"/>
    <x v="1"/>
    <x v="0"/>
    <x v="74"/>
    <x v="200"/>
    <x v="142"/>
    <x v="272"/>
    <x v="133"/>
    <x v="221"/>
    <x v="2"/>
  </r>
  <r>
    <x v="0"/>
    <x v="20"/>
    <x v="20"/>
    <x v="0"/>
    <x v="0"/>
    <x v="0"/>
    <x v="1"/>
    <x v="155"/>
    <x v="201"/>
    <x v="136"/>
    <x v="273"/>
    <x v="121"/>
    <x v="222"/>
    <x v="2"/>
  </r>
  <r>
    <x v="0"/>
    <x v="20"/>
    <x v="20"/>
    <x v="4"/>
    <x v="4"/>
    <x v="4"/>
    <x v="2"/>
    <x v="50"/>
    <x v="202"/>
    <x v="94"/>
    <x v="274"/>
    <x v="117"/>
    <x v="21"/>
    <x v="2"/>
  </r>
  <r>
    <x v="0"/>
    <x v="20"/>
    <x v="20"/>
    <x v="2"/>
    <x v="2"/>
    <x v="2"/>
    <x v="2"/>
    <x v="50"/>
    <x v="202"/>
    <x v="143"/>
    <x v="275"/>
    <x v="73"/>
    <x v="177"/>
    <x v="2"/>
  </r>
  <r>
    <x v="0"/>
    <x v="20"/>
    <x v="20"/>
    <x v="5"/>
    <x v="5"/>
    <x v="5"/>
    <x v="4"/>
    <x v="164"/>
    <x v="190"/>
    <x v="85"/>
    <x v="276"/>
    <x v="47"/>
    <x v="149"/>
    <x v="2"/>
  </r>
  <r>
    <x v="0"/>
    <x v="20"/>
    <x v="20"/>
    <x v="6"/>
    <x v="6"/>
    <x v="6"/>
    <x v="5"/>
    <x v="86"/>
    <x v="203"/>
    <x v="133"/>
    <x v="277"/>
    <x v="89"/>
    <x v="223"/>
    <x v="0"/>
  </r>
  <r>
    <x v="0"/>
    <x v="20"/>
    <x v="20"/>
    <x v="3"/>
    <x v="3"/>
    <x v="3"/>
    <x v="6"/>
    <x v="56"/>
    <x v="204"/>
    <x v="117"/>
    <x v="278"/>
    <x v="47"/>
    <x v="149"/>
    <x v="2"/>
  </r>
  <r>
    <x v="0"/>
    <x v="20"/>
    <x v="20"/>
    <x v="18"/>
    <x v="18"/>
    <x v="18"/>
    <x v="7"/>
    <x v="62"/>
    <x v="176"/>
    <x v="80"/>
    <x v="37"/>
    <x v="134"/>
    <x v="224"/>
    <x v="2"/>
  </r>
  <r>
    <x v="0"/>
    <x v="20"/>
    <x v="20"/>
    <x v="7"/>
    <x v="7"/>
    <x v="7"/>
    <x v="8"/>
    <x v="65"/>
    <x v="24"/>
    <x v="75"/>
    <x v="262"/>
    <x v="72"/>
    <x v="51"/>
    <x v="2"/>
  </r>
  <r>
    <x v="0"/>
    <x v="20"/>
    <x v="20"/>
    <x v="31"/>
    <x v="31"/>
    <x v="31"/>
    <x v="9"/>
    <x v="143"/>
    <x v="205"/>
    <x v="52"/>
    <x v="17"/>
    <x v="83"/>
    <x v="225"/>
    <x v="2"/>
  </r>
  <r>
    <x v="0"/>
    <x v="20"/>
    <x v="20"/>
    <x v="16"/>
    <x v="16"/>
    <x v="16"/>
    <x v="10"/>
    <x v="68"/>
    <x v="92"/>
    <x v="31"/>
    <x v="83"/>
    <x v="70"/>
    <x v="9"/>
    <x v="0"/>
  </r>
  <r>
    <x v="0"/>
    <x v="20"/>
    <x v="20"/>
    <x v="20"/>
    <x v="20"/>
    <x v="20"/>
    <x v="11"/>
    <x v="79"/>
    <x v="9"/>
    <x v="116"/>
    <x v="164"/>
    <x v="54"/>
    <x v="143"/>
    <x v="2"/>
  </r>
  <r>
    <x v="0"/>
    <x v="20"/>
    <x v="20"/>
    <x v="25"/>
    <x v="25"/>
    <x v="25"/>
    <x v="12"/>
    <x v="71"/>
    <x v="82"/>
    <x v="48"/>
    <x v="111"/>
    <x v="70"/>
    <x v="9"/>
    <x v="2"/>
  </r>
  <r>
    <x v="0"/>
    <x v="20"/>
    <x v="20"/>
    <x v="14"/>
    <x v="14"/>
    <x v="14"/>
    <x v="13"/>
    <x v="72"/>
    <x v="32"/>
    <x v="98"/>
    <x v="113"/>
    <x v="89"/>
    <x v="223"/>
    <x v="2"/>
  </r>
  <r>
    <x v="0"/>
    <x v="20"/>
    <x v="20"/>
    <x v="29"/>
    <x v="29"/>
    <x v="29"/>
    <x v="14"/>
    <x v="73"/>
    <x v="118"/>
    <x v="64"/>
    <x v="279"/>
    <x v="42"/>
    <x v="207"/>
    <x v="2"/>
  </r>
  <r>
    <x v="0"/>
    <x v="20"/>
    <x v="20"/>
    <x v="22"/>
    <x v="22"/>
    <x v="22"/>
    <x v="15"/>
    <x v="80"/>
    <x v="145"/>
    <x v="87"/>
    <x v="280"/>
    <x v="66"/>
    <x v="54"/>
    <x v="2"/>
  </r>
  <r>
    <x v="0"/>
    <x v="20"/>
    <x v="20"/>
    <x v="21"/>
    <x v="21"/>
    <x v="21"/>
    <x v="16"/>
    <x v="81"/>
    <x v="47"/>
    <x v="70"/>
    <x v="281"/>
    <x v="33"/>
    <x v="133"/>
    <x v="2"/>
  </r>
  <r>
    <x v="0"/>
    <x v="20"/>
    <x v="20"/>
    <x v="9"/>
    <x v="9"/>
    <x v="9"/>
    <x v="17"/>
    <x v="82"/>
    <x v="70"/>
    <x v="59"/>
    <x v="52"/>
    <x v="50"/>
    <x v="168"/>
    <x v="2"/>
  </r>
  <r>
    <x v="0"/>
    <x v="20"/>
    <x v="20"/>
    <x v="8"/>
    <x v="8"/>
    <x v="8"/>
    <x v="18"/>
    <x v="83"/>
    <x v="18"/>
    <x v="59"/>
    <x v="52"/>
    <x v="79"/>
    <x v="169"/>
    <x v="2"/>
  </r>
  <r>
    <x v="0"/>
    <x v="20"/>
    <x v="20"/>
    <x v="15"/>
    <x v="15"/>
    <x v="15"/>
    <x v="19"/>
    <x v="136"/>
    <x v="97"/>
    <x v="53"/>
    <x v="57"/>
    <x v="79"/>
    <x v="169"/>
    <x v="2"/>
  </r>
  <r>
    <x v="0"/>
    <x v="21"/>
    <x v="21"/>
    <x v="0"/>
    <x v="0"/>
    <x v="0"/>
    <x v="0"/>
    <x v="24"/>
    <x v="206"/>
    <x v="144"/>
    <x v="282"/>
    <x v="107"/>
    <x v="50"/>
    <x v="2"/>
  </r>
  <r>
    <x v="0"/>
    <x v="21"/>
    <x v="21"/>
    <x v="1"/>
    <x v="1"/>
    <x v="1"/>
    <x v="1"/>
    <x v="149"/>
    <x v="53"/>
    <x v="83"/>
    <x v="283"/>
    <x v="135"/>
    <x v="40"/>
    <x v="0"/>
  </r>
  <r>
    <x v="0"/>
    <x v="21"/>
    <x v="21"/>
    <x v="5"/>
    <x v="5"/>
    <x v="5"/>
    <x v="2"/>
    <x v="165"/>
    <x v="190"/>
    <x v="145"/>
    <x v="284"/>
    <x v="62"/>
    <x v="161"/>
    <x v="2"/>
  </r>
  <r>
    <x v="0"/>
    <x v="21"/>
    <x v="21"/>
    <x v="6"/>
    <x v="6"/>
    <x v="6"/>
    <x v="3"/>
    <x v="112"/>
    <x v="163"/>
    <x v="104"/>
    <x v="170"/>
    <x v="80"/>
    <x v="28"/>
    <x v="2"/>
  </r>
  <r>
    <x v="0"/>
    <x v="21"/>
    <x v="21"/>
    <x v="2"/>
    <x v="2"/>
    <x v="2"/>
    <x v="4"/>
    <x v="166"/>
    <x v="4"/>
    <x v="39"/>
    <x v="285"/>
    <x v="66"/>
    <x v="113"/>
    <x v="2"/>
  </r>
  <r>
    <x v="0"/>
    <x v="21"/>
    <x v="21"/>
    <x v="3"/>
    <x v="3"/>
    <x v="3"/>
    <x v="5"/>
    <x v="167"/>
    <x v="109"/>
    <x v="146"/>
    <x v="42"/>
    <x v="62"/>
    <x v="161"/>
    <x v="2"/>
  </r>
  <r>
    <x v="0"/>
    <x v="21"/>
    <x v="21"/>
    <x v="4"/>
    <x v="4"/>
    <x v="4"/>
    <x v="6"/>
    <x v="168"/>
    <x v="192"/>
    <x v="147"/>
    <x v="286"/>
    <x v="44"/>
    <x v="44"/>
    <x v="2"/>
  </r>
  <r>
    <x v="0"/>
    <x v="21"/>
    <x v="21"/>
    <x v="15"/>
    <x v="15"/>
    <x v="15"/>
    <x v="7"/>
    <x v="169"/>
    <x v="207"/>
    <x v="52"/>
    <x v="65"/>
    <x v="136"/>
    <x v="226"/>
    <x v="2"/>
  </r>
  <r>
    <x v="0"/>
    <x v="21"/>
    <x v="21"/>
    <x v="16"/>
    <x v="16"/>
    <x v="16"/>
    <x v="8"/>
    <x v="130"/>
    <x v="208"/>
    <x v="60"/>
    <x v="150"/>
    <x v="137"/>
    <x v="227"/>
    <x v="2"/>
  </r>
  <r>
    <x v="0"/>
    <x v="21"/>
    <x v="21"/>
    <x v="7"/>
    <x v="7"/>
    <x v="7"/>
    <x v="9"/>
    <x v="59"/>
    <x v="173"/>
    <x v="117"/>
    <x v="281"/>
    <x v="95"/>
    <x v="149"/>
    <x v="2"/>
  </r>
  <r>
    <x v="0"/>
    <x v="21"/>
    <x v="21"/>
    <x v="19"/>
    <x v="19"/>
    <x v="19"/>
    <x v="10"/>
    <x v="117"/>
    <x v="10"/>
    <x v="50"/>
    <x v="287"/>
    <x v="138"/>
    <x v="110"/>
    <x v="2"/>
  </r>
  <r>
    <x v="0"/>
    <x v="21"/>
    <x v="21"/>
    <x v="12"/>
    <x v="12"/>
    <x v="12"/>
    <x v="11"/>
    <x v="118"/>
    <x v="60"/>
    <x v="117"/>
    <x v="281"/>
    <x v="105"/>
    <x v="112"/>
    <x v="2"/>
  </r>
  <r>
    <x v="0"/>
    <x v="21"/>
    <x v="21"/>
    <x v="18"/>
    <x v="18"/>
    <x v="18"/>
    <x v="12"/>
    <x v="93"/>
    <x v="13"/>
    <x v="78"/>
    <x v="288"/>
    <x v="139"/>
    <x v="157"/>
    <x v="2"/>
  </r>
  <r>
    <x v="0"/>
    <x v="21"/>
    <x v="21"/>
    <x v="29"/>
    <x v="29"/>
    <x v="29"/>
    <x v="13"/>
    <x v="170"/>
    <x v="62"/>
    <x v="110"/>
    <x v="181"/>
    <x v="62"/>
    <x v="161"/>
    <x v="2"/>
  </r>
  <r>
    <x v="0"/>
    <x v="21"/>
    <x v="21"/>
    <x v="10"/>
    <x v="10"/>
    <x v="10"/>
    <x v="14"/>
    <x v="133"/>
    <x v="119"/>
    <x v="80"/>
    <x v="167"/>
    <x v="140"/>
    <x v="169"/>
    <x v="2"/>
  </r>
  <r>
    <x v="0"/>
    <x v="21"/>
    <x v="21"/>
    <x v="8"/>
    <x v="8"/>
    <x v="8"/>
    <x v="15"/>
    <x v="158"/>
    <x v="120"/>
    <x v="78"/>
    <x v="288"/>
    <x v="49"/>
    <x v="146"/>
    <x v="2"/>
  </r>
  <r>
    <x v="0"/>
    <x v="21"/>
    <x v="21"/>
    <x v="9"/>
    <x v="9"/>
    <x v="9"/>
    <x v="16"/>
    <x v="171"/>
    <x v="15"/>
    <x v="31"/>
    <x v="217"/>
    <x v="130"/>
    <x v="228"/>
    <x v="2"/>
  </r>
  <r>
    <x v="0"/>
    <x v="21"/>
    <x v="21"/>
    <x v="17"/>
    <x v="17"/>
    <x v="17"/>
    <x v="17"/>
    <x v="139"/>
    <x v="84"/>
    <x v="30"/>
    <x v="208"/>
    <x v="71"/>
    <x v="205"/>
    <x v="2"/>
  </r>
  <r>
    <x v="0"/>
    <x v="21"/>
    <x v="21"/>
    <x v="11"/>
    <x v="11"/>
    <x v="11"/>
    <x v="18"/>
    <x v="119"/>
    <x v="49"/>
    <x v="75"/>
    <x v="37"/>
    <x v="80"/>
    <x v="28"/>
    <x v="2"/>
  </r>
  <r>
    <x v="0"/>
    <x v="21"/>
    <x v="21"/>
    <x v="13"/>
    <x v="13"/>
    <x v="13"/>
    <x v="18"/>
    <x v="119"/>
    <x v="49"/>
    <x v="116"/>
    <x v="289"/>
    <x v="25"/>
    <x v="229"/>
    <x v="2"/>
  </r>
  <r>
    <x v="0"/>
    <x v="22"/>
    <x v="22"/>
    <x v="1"/>
    <x v="1"/>
    <x v="1"/>
    <x v="0"/>
    <x v="108"/>
    <x v="209"/>
    <x v="148"/>
    <x v="290"/>
    <x v="54"/>
    <x v="142"/>
    <x v="2"/>
  </r>
  <r>
    <x v="0"/>
    <x v="22"/>
    <x v="22"/>
    <x v="0"/>
    <x v="0"/>
    <x v="0"/>
    <x v="1"/>
    <x v="79"/>
    <x v="113"/>
    <x v="63"/>
    <x v="291"/>
    <x v="54"/>
    <x v="142"/>
    <x v="2"/>
  </r>
  <r>
    <x v="0"/>
    <x v="22"/>
    <x v="22"/>
    <x v="3"/>
    <x v="3"/>
    <x v="3"/>
    <x v="2"/>
    <x v="71"/>
    <x v="210"/>
    <x v="61"/>
    <x v="292"/>
    <x v="74"/>
    <x v="29"/>
    <x v="2"/>
  </r>
  <r>
    <x v="0"/>
    <x v="22"/>
    <x v="22"/>
    <x v="11"/>
    <x v="11"/>
    <x v="11"/>
    <x v="3"/>
    <x v="80"/>
    <x v="37"/>
    <x v="69"/>
    <x v="170"/>
    <x v="69"/>
    <x v="230"/>
    <x v="2"/>
  </r>
  <r>
    <x v="0"/>
    <x v="22"/>
    <x v="22"/>
    <x v="46"/>
    <x v="46"/>
    <x v="46"/>
    <x v="3"/>
    <x v="80"/>
    <x v="37"/>
    <x v="69"/>
    <x v="170"/>
    <x v="69"/>
    <x v="230"/>
    <x v="2"/>
  </r>
  <r>
    <x v="0"/>
    <x v="22"/>
    <x v="22"/>
    <x v="14"/>
    <x v="14"/>
    <x v="14"/>
    <x v="5"/>
    <x v="82"/>
    <x v="211"/>
    <x v="81"/>
    <x v="293"/>
    <x v="74"/>
    <x v="29"/>
    <x v="2"/>
  </r>
  <r>
    <x v="0"/>
    <x v="22"/>
    <x v="22"/>
    <x v="2"/>
    <x v="2"/>
    <x v="2"/>
    <x v="6"/>
    <x v="95"/>
    <x v="212"/>
    <x v="81"/>
    <x v="293"/>
    <x v="90"/>
    <x v="231"/>
    <x v="2"/>
  </r>
  <r>
    <x v="0"/>
    <x v="22"/>
    <x v="22"/>
    <x v="42"/>
    <x v="42"/>
    <x v="42"/>
    <x v="7"/>
    <x v="104"/>
    <x v="110"/>
    <x v="50"/>
    <x v="294"/>
    <x v="69"/>
    <x v="230"/>
    <x v="2"/>
  </r>
  <r>
    <x v="0"/>
    <x v="22"/>
    <x v="22"/>
    <x v="7"/>
    <x v="7"/>
    <x v="7"/>
    <x v="8"/>
    <x v="102"/>
    <x v="171"/>
    <x v="42"/>
    <x v="70"/>
    <x v="117"/>
    <x v="232"/>
    <x v="2"/>
  </r>
  <r>
    <x v="0"/>
    <x v="22"/>
    <x v="22"/>
    <x v="4"/>
    <x v="4"/>
    <x v="4"/>
    <x v="8"/>
    <x v="102"/>
    <x v="171"/>
    <x v="79"/>
    <x v="265"/>
    <x v="132"/>
    <x v="188"/>
    <x v="2"/>
  </r>
  <r>
    <x v="0"/>
    <x v="22"/>
    <x v="22"/>
    <x v="10"/>
    <x v="10"/>
    <x v="10"/>
    <x v="10"/>
    <x v="172"/>
    <x v="56"/>
    <x v="52"/>
    <x v="137"/>
    <x v="68"/>
    <x v="233"/>
    <x v="2"/>
  </r>
  <r>
    <x v="0"/>
    <x v="22"/>
    <x v="22"/>
    <x v="39"/>
    <x v="39"/>
    <x v="39"/>
    <x v="11"/>
    <x v="173"/>
    <x v="144"/>
    <x v="42"/>
    <x v="70"/>
    <x v="69"/>
    <x v="230"/>
    <x v="2"/>
  </r>
  <r>
    <x v="0"/>
    <x v="22"/>
    <x v="22"/>
    <x v="9"/>
    <x v="9"/>
    <x v="9"/>
    <x v="12"/>
    <x v="174"/>
    <x v="60"/>
    <x v="33"/>
    <x v="295"/>
    <x v="120"/>
    <x v="204"/>
    <x v="2"/>
  </r>
  <r>
    <x v="0"/>
    <x v="22"/>
    <x v="22"/>
    <x v="40"/>
    <x v="40"/>
    <x v="40"/>
    <x v="12"/>
    <x v="174"/>
    <x v="60"/>
    <x v="52"/>
    <x v="137"/>
    <x v="61"/>
    <x v="234"/>
    <x v="2"/>
  </r>
  <r>
    <x v="0"/>
    <x v="22"/>
    <x v="22"/>
    <x v="50"/>
    <x v="50"/>
    <x v="50"/>
    <x v="12"/>
    <x v="174"/>
    <x v="60"/>
    <x v="60"/>
    <x v="296"/>
    <x v="132"/>
    <x v="188"/>
    <x v="2"/>
  </r>
  <r>
    <x v="0"/>
    <x v="22"/>
    <x v="22"/>
    <x v="19"/>
    <x v="19"/>
    <x v="19"/>
    <x v="15"/>
    <x v="175"/>
    <x v="14"/>
    <x v="48"/>
    <x v="84"/>
    <x v="61"/>
    <x v="234"/>
    <x v="2"/>
  </r>
  <r>
    <x v="0"/>
    <x v="22"/>
    <x v="22"/>
    <x v="37"/>
    <x v="37"/>
    <x v="37"/>
    <x v="15"/>
    <x v="175"/>
    <x v="14"/>
    <x v="52"/>
    <x v="137"/>
    <x v="117"/>
    <x v="232"/>
    <x v="2"/>
  </r>
  <r>
    <x v="0"/>
    <x v="22"/>
    <x v="22"/>
    <x v="47"/>
    <x v="47"/>
    <x v="47"/>
    <x v="15"/>
    <x v="175"/>
    <x v="14"/>
    <x v="42"/>
    <x v="70"/>
    <x v="90"/>
    <x v="231"/>
    <x v="2"/>
  </r>
  <r>
    <x v="0"/>
    <x v="22"/>
    <x v="22"/>
    <x v="43"/>
    <x v="43"/>
    <x v="43"/>
    <x v="18"/>
    <x v="176"/>
    <x v="185"/>
    <x v="31"/>
    <x v="133"/>
    <x v="69"/>
    <x v="230"/>
    <x v="2"/>
  </r>
  <r>
    <x v="0"/>
    <x v="22"/>
    <x v="22"/>
    <x v="51"/>
    <x v="51"/>
    <x v="51"/>
    <x v="18"/>
    <x v="176"/>
    <x v="185"/>
    <x v="33"/>
    <x v="295"/>
    <x v="65"/>
    <x v="171"/>
    <x v="2"/>
  </r>
  <r>
    <x v="0"/>
    <x v="22"/>
    <x v="22"/>
    <x v="52"/>
    <x v="52"/>
    <x v="52"/>
    <x v="18"/>
    <x v="176"/>
    <x v="185"/>
    <x v="80"/>
    <x v="297"/>
    <x v="54"/>
    <x v="142"/>
    <x v="2"/>
  </r>
  <r>
    <x v="0"/>
    <x v="22"/>
    <x v="22"/>
    <x v="6"/>
    <x v="6"/>
    <x v="6"/>
    <x v="18"/>
    <x v="176"/>
    <x v="185"/>
    <x v="27"/>
    <x v="241"/>
    <x v="90"/>
    <x v="231"/>
    <x v="2"/>
  </r>
  <r>
    <x v="0"/>
    <x v="23"/>
    <x v="23"/>
    <x v="0"/>
    <x v="0"/>
    <x v="0"/>
    <x v="0"/>
    <x v="177"/>
    <x v="213"/>
    <x v="149"/>
    <x v="298"/>
    <x v="83"/>
    <x v="37"/>
    <x v="2"/>
  </r>
  <r>
    <x v="0"/>
    <x v="23"/>
    <x v="23"/>
    <x v="2"/>
    <x v="2"/>
    <x v="2"/>
    <x v="1"/>
    <x v="178"/>
    <x v="214"/>
    <x v="150"/>
    <x v="299"/>
    <x v="46"/>
    <x v="113"/>
    <x v="2"/>
  </r>
  <r>
    <x v="0"/>
    <x v="23"/>
    <x v="23"/>
    <x v="9"/>
    <x v="9"/>
    <x v="9"/>
    <x v="2"/>
    <x v="179"/>
    <x v="65"/>
    <x v="70"/>
    <x v="300"/>
    <x v="141"/>
    <x v="235"/>
    <x v="2"/>
  </r>
  <r>
    <x v="0"/>
    <x v="23"/>
    <x v="23"/>
    <x v="3"/>
    <x v="3"/>
    <x v="3"/>
    <x v="3"/>
    <x v="180"/>
    <x v="174"/>
    <x v="107"/>
    <x v="301"/>
    <x v="83"/>
    <x v="37"/>
    <x v="2"/>
  </r>
  <r>
    <x v="0"/>
    <x v="23"/>
    <x v="23"/>
    <x v="8"/>
    <x v="8"/>
    <x v="8"/>
    <x v="4"/>
    <x v="181"/>
    <x v="215"/>
    <x v="72"/>
    <x v="137"/>
    <x v="142"/>
    <x v="236"/>
    <x v="2"/>
  </r>
  <r>
    <x v="0"/>
    <x v="23"/>
    <x v="23"/>
    <x v="4"/>
    <x v="4"/>
    <x v="4"/>
    <x v="5"/>
    <x v="182"/>
    <x v="216"/>
    <x v="151"/>
    <x v="302"/>
    <x v="68"/>
    <x v="237"/>
    <x v="2"/>
  </r>
  <r>
    <x v="0"/>
    <x v="23"/>
    <x v="23"/>
    <x v="1"/>
    <x v="1"/>
    <x v="1"/>
    <x v="6"/>
    <x v="114"/>
    <x v="89"/>
    <x v="81"/>
    <x v="179"/>
    <x v="37"/>
    <x v="238"/>
    <x v="2"/>
  </r>
  <r>
    <x v="0"/>
    <x v="23"/>
    <x v="23"/>
    <x v="10"/>
    <x v="10"/>
    <x v="10"/>
    <x v="7"/>
    <x v="49"/>
    <x v="217"/>
    <x v="33"/>
    <x v="303"/>
    <x v="143"/>
    <x v="224"/>
    <x v="2"/>
  </r>
  <r>
    <x v="0"/>
    <x v="23"/>
    <x v="23"/>
    <x v="5"/>
    <x v="5"/>
    <x v="5"/>
    <x v="8"/>
    <x v="158"/>
    <x v="79"/>
    <x v="65"/>
    <x v="304"/>
    <x v="68"/>
    <x v="237"/>
    <x v="2"/>
  </r>
  <r>
    <x v="0"/>
    <x v="23"/>
    <x v="23"/>
    <x v="12"/>
    <x v="12"/>
    <x v="12"/>
    <x v="9"/>
    <x v="106"/>
    <x v="26"/>
    <x v="116"/>
    <x v="305"/>
    <x v="48"/>
    <x v="239"/>
    <x v="2"/>
  </r>
  <r>
    <x v="0"/>
    <x v="23"/>
    <x v="23"/>
    <x v="13"/>
    <x v="13"/>
    <x v="13"/>
    <x v="10"/>
    <x v="183"/>
    <x v="178"/>
    <x v="117"/>
    <x v="306"/>
    <x v="119"/>
    <x v="240"/>
    <x v="2"/>
  </r>
  <r>
    <x v="0"/>
    <x v="23"/>
    <x v="23"/>
    <x v="14"/>
    <x v="14"/>
    <x v="14"/>
    <x v="11"/>
    <x v="184"/>
    <x v="9"/>
    <x v="152"/>
    <x v="307"/>
    <x v="86"/>
    <x v="161"/>
    <x v="2"/>
  </r>
  <r>
    <x v="0"/>
    <x v="23"/>
    <x v="23"/>
    <x v="6"/>
    <x v="6"/>
    <x v="6"/>
    <x v="12"/>
    <x v="107"/>
    <x v="45"/>
    <x v="130"/>
    <x v="308"/>
    <x v="58"/>
    <x v="241"/>
    <x v="0"/>
  </r>
  <r>
    <x v="0"/>
    <x v="23"/>
    <x v="23"/>
    <x v="19"/>
    <x v="19"/>
    <x v="19"/>
    <x v="13"/>
    <x v="164"/>
    <x v="83"/>
    <x v="80"/>
    <x v="19"/>
    <x v="80"/>
    <x v="139"/>
    <x v="2"/>
  </r>
  <r>
    <x v="0"/>
    <x v="23"/>
    <x v="23"/>
    <x v="7"/>
    <x v="7"/>
    <x v="7"/>
    <x v="14"/>
    <x v="53"/>
    <x v="33"/>
    <x v="86"/>
    <x v="134"/>
    <x v="40"/>
    <x v="209"/>
    <x v="2"/>
  </r>
  <r>
    <x v="0"/>
    <x v="23"/>
    <x v="23"/>
    <x v="28"/>
    <x v="28"/>
    <x v="28"/>
    <x v="15"/>
    <x v="87"/>
    <x v="119"/>
    <x v="31"/>
    <x v="309"/>
    <x v="105"/>
    <x v="228"/>
    <x v="2"/>
  </r>
  <r>
    <x v="0"/>
    <x v="23"/>
    <x v="23"/>
    <x v="53"/>
    <x v="53"/>
    <x v="53"/>
    <x v="16"/>
    <x v="54"/>
    <x v="14"/>
    <x v="59"/>
    <x v="310"/>
    <x v="80"/>
    <x v="139"/>
    <x v="2"/>
  </r>
  <r>
    <x v="0"/>
    <x v="23"/>
    <x v="23"/>
    <x v="17"/>
    <x v="17"/>
    <x v="17"/>
    <x v="17"/>
    <x v="55"/>
    <x v="34"/>
    <x v="31"/>
    <x v="309"/>
    <x v="144"/>
    <x v="242"/>
    <x v="2"/>
  </r>
  <r>
    <x v="0"/>
    <x v="23"/>
    <x v="23"/>
    <x v="26"/>
    <x v="26"/>
    <x v="26"/>
    <x v="17"/>
    <x v="55"/>
    <x v="34"/>
    <x v="72"/>
    <x v="137"/>
    <x v="22"/>
    <x v="78"/>
    <x v="2"/>
  </r>
  <r>
    <x v="0"/>
    <x v="23"/>
    <x v="23"/>
    <x v="48"/>
    <x v="48"/>
    <x v="48"/>
    <x v="19"/>
    <x v="185"/>
    <x v="134"/>
    <x v="42"/>
    <x v="44"/>
    <x v="22"/>
    <x v="78"/>
    <x v="2"/>
  </r>
  <r>
    <x v="0"/>
    <x v="24"/>
    <x v="24"/>
    <x v="0"/>
    <x v="0"/>
    <x v="0"/>
    <x v="0"/>
    <x v="186"/>
    <x v="218"/>
    <x v="153"/>
    <x v="311"/>
    <x v="58"/>
    <x v="243"/>
    <x v="2"/>
  </r>
  <r>
    <x v="0"/>
    <x v="24"/>
    <x v="24"/>
    <x v="1"/>
    <x v="1"/>
    <x v="1"/>
    <x v="1"/>
    <x v="187"/>
    <x v="186"/>
    <x v="68"/>
    <x v="312"/>
    <x v="99"/>
    <x v="244"/>
    <x v="2"/>
  </r>
  <r>
    <x v="0"/>
    <x v="24"/>
    <x v="24"/>
    <x v="5"/>
    <x v="5"/>
    <x v="5"/>
    <x v="2"/>
    <x v="52"/>
    <x v="89"/>
    <x v="111"/>
    <x v="313"/>
    <x v="33"/>
    <x v="245"/>
    <x v="2"/>
  </r>
  <r>
    <x v="0"/>
    <x v="24"/>
    <x v="24"/>
    <x v="2"/>
    <x v="2"/>
    <x v="2"/>
    <x v="3"/>
    <x v="140"/>
    <x v="90"/>
    <x v="84"/>
    <x v="314"/>
    <x v="61"/>
    <x v="246"/>
    <x v="0"/>
  </r>
  <r>
    <x v="0"/>
    <x v="24"/>
    <x v="24"/>
    <x v="6"/>
    <x v="6"/>
    <x v="6"/>
    <x v="3"/>
    <x v="140"/>
    <x v="90"/>
    <x v="117"/>
    <x v="315"/>
    <x v="72"/>
    <x v="96"/>
    <x v="2"/>
  </r>
  <r>
    <x v="0"/>
    <x v="24"/>
    <x v="24"/>
    <x v="4"/>
    <x v="4"/>
    <x v="4"/>
    <x v="5"/>
    <x v="90"/>
    <x v="66"/>
    <x v="112"/>
    <x v="316"/>
    <x v="69"/>
    <x v="247"/>
    <x v="2"/>
  </r>
  <r>
    <x v="0"/>
    <x v="24"/>
    <x v="24"/>
    <x v="15"/>
    <x v="15"/>
    <x v="15"/>
    <x v="6"/>
    <x v="91"/>
    <x v="67"/>
    <x v="53"/>
    <x v="57"/>
    <x v="118"/>
    <x v="56"/>
    <x v="2"/>
  </r>
  <r>
    <x v="0"/>
    <x v="24"/>
    <x v="24"/>
    <x v="3"/>
    <x v="3"/>
    <x v="3"/>
    <x v="7"/>
    <x v="61"/>
    <x v="79"/>
    <x v="37"/>
    <x v="96"/>
    <x v="82"/>
    <x v="248"/>
    <x v="2"/>
  </r>
  <r>
    <x v="0"/>
    <x v="24"/>
    <x v="24"/>
    <x v="8"/>
    <x v="8"/>
    <x v="8"/>
    <x v="8"/>
    <x v="77"/>
    <x v="116"/>
    <x v="33"/>
    <x v="118"/>
    <x v="134"/>
    <x v="215"/>
    <x v="2"/>
  </r>
  <r>
    <x v="0"/>
    <x v="24"/>
    <x v="24"/>
    <x v="21"/>
    <x v="21"/>
    <x v="21"/>
    <x v="9"/>
    <x v="78"/>
    <x v="178"/>
    <x v="62"/>
    <x v="317"/>
    <x v="88"/>
    <x v="249"/>
    <x v="2"/>
  </r>
  <r>
    <x v="0"/>
    <x v="24"/>
    <x v="24"/>
    <x v="29"/>
    <x v="29"/>
    <x v="29"/>
    <x v="10"/>
    <x v="65"/>
    <x v="93"/>
    <x v="81"/>
    <x v="252"/>
    <x v="47"/>
    <x v="250"/>
    <x v="2"/>
  </r>
  <r>
    <x v="0"/>
    <x v="24"/>
    <x v="24"/>
    <x v="25"/>
    <x v="25"/>
    <x v="25"/>
    <x v="11"/>
    <x v="143"/>
    <x v="144"/>
    <x v="59"/>
    <x v="35"/>
    <x v="134"/>
    <x v="215"/>
    <x v="2"/>
  </r>
  <r>
    <x v="0"/>
    <x v="24"/>
    <x v="24"/>
    <x v="39"/>
    <x v="39"/>
    <x v="39"/>
    <x v="12"/>
    <x v="68"/>
    <x v="45"/>
    <x v="64"/>
    <x v="318"/>
    <x v="66"/>
    <x v="133"/>
    <x v="2"/>
  </r>
  <r>
    <x v="0"/>
    <x v="24"/>
    <x v="24"/>
    <x v="14"/>
    <x v="14"/>
    <x v="14"/>
    <x v="13"/>
    <x v="69"/>
    <x v="32"/>
    <x v="50"/>
    <x v="280"/>
    <x v="72"/>
    <x v="96"/>
    <x v="2"/>
  </r>
  <r>
    <x v="0"/>
    <x v="24"/>
    <x v="24"/>
    <x v="11"/>
    <x v="11"/>
    <x v="11"/>
    <x v="14"/>
    <x v="70"/>
    <x v="119"/>
    <x v="80"/>
    <x v="168"/>
    <x v="104"/>
    <x v="130"/>
    <x v="2"/>
  </r>
  <r>
    <x v="0"/>
    <x v="24"/>
    <x v="24"/>
    <x v="18"/>
    <x v="18"/>
    <x v="18"/>
    <x v="14"/>
    <x v="70"/>
    <x v="119"/>
    <x v="80"/>
    <x v="168"/>
    <x v="50"/>
    <x v="146"/>
    <x v="2"/>
  </r>
  <r>
    <x v="0"/>
    <x v="24"/>
    <x v="24"/>
    <x v="10"/>
    <x v="10"/>
    <x v="10"/>
    <x v="16"/>
    <x v="79"/>
    <x v="14"/>
    <x v="48"/>
    <x v="225"/>
    <x v="64"/>
    <x v="145"/>
    <x v="2"/>
  </r>
  <r>
    <x v="0"/>
    <x v="24"/>
    <x v="24"/>
    <x v="17"/>
    <x v="17"/>
    <x v="17"/>
    <x v="16"/>
    <x v="79"/>
    <x v="14"/>
    <x v="53"/>
    <x v="57"/>
    <x v="87"/>
    <x v="7"/>
    <x v="2"/>
  </r>
  <r>
    <x v="0"/>
    <x v="24"/>
    <x v="24"/>
    <x v="20"/>
    <x v="20"/>
    <x v="20"/>
    <x v="16"/>
    <x v="79"/>
    <x v="14"/>
    <x v="138"/>
    <x v="319"/>
    <x v="74"/>
    <x v="81"/>
    <x v="2"/>
  </r>
  <r>
    <x v="0"/>
    <x v="24"/>
    <x v="24"/>
    <x v="19"/>
    <x v="19"/>
    <x v="19"/>
    <x v="19"/>
    <x v="71"/>
    <x v="134"/>
    <x v="33"/>
    <x v="118"/>
    <x v="104"/>
    <x v="130"/>
    <x v="2"/>
  </r>
  <r>
    <x v="0"/>
    <x v="25"/>
    <x v="25"/>
    <x v="0"/>
    <x v="0"/>
    <x v="0"/>
    <x v="0"/>
    <x v="169"/>
    <x v="219"/>
    <x v="146"/>
    <x v="320"/>
    <x v="123"/>
    <x v="157"/>
    <x v="2"/>
  </r>
  <r>
    <x v="0"/>
    <x v="25"/>
    <x v="25"/>
    <x v="4"/>
    <x v="4"/>
    <x v="4"/>
    <x v="1"/>
    <x v="117"/>
    <x v="220"/>
    <x v="36"/>
    <x v="321"/>
    <x v="47"/>
    <x v="106"/>
    <x v="2"/>
  </r>
  <r>
    <x v="0"/>
    <x v="25"/>
    <x v="25"/>
    <x v="2"/>
    <x v="2"/>
    <x v="2"/>
    <x v="2"/>
    <x v="48"/>
    <x v="221"/>
    <x v="154"/>
    <x v="322"/>
    <x v="117"/>
    <x v="4"/>
    <x v="2"/>
  </r>
  <r>
    <x v="0"/>
    <x v="25"/>
    <x v="25"/>
    <x v="6"/>
    <x v="6"/>
    <x v="6"/>
    <x v="3"/>
    <x v="188"/>
    <x v="222"/>
    <x v="155"/>
    <x v="323"/>
    <x v="72"/>
    <x v="6"/>
    <x v="2"/>
  </r>
  <r>
    <x v="0"/>
    <x v="25"/>
    <x v="25"/>
    <x v="5"/>
    <x v="5"/>
    <x v="5"/>
    <x v="4"/>
    <x v="189"/>
    <x v="223"/>
    <x v="137"/>
    <x v="324"/>
    <x v="89"/>
    <x v="74"/>
    <x v="2"/>
  </r>
  <r>
    <x v="0"/>
    <x v="25"/>
    <x v="25"/>
    <x v="3"/>
    <x v="3"/>
    <x v="3"/>
    <x v="5"/>
    <x v="163"/>
    <x v="74"/>
    <x v="67"/>
    <x v="325"/>
    <x v="66"/>
    <x v="12"/>
    <x v="2"/>
  </r>
  <r>
    <x v="0"/>
    <x v="25"/>
    <x v="25"/>
    <x v="1"/>
    <x v="1"/>
    <x v="1"/>
    <x v="6"/>
    <x v="184"/>
    <x v="224"/>
    <x v="44"/>
    <x v="326"/>
    <x v="48"/>
    <x v="218"/>
    <x v="2"/>
  </r>
  <r>
    <x v="0"/>
    <x v="25"/>
    <x v="25"/>
    <x v="29"/>
    <x v="29"/>
    <x v="29"/>
    <x v="7"/>
    <x v="91"/>
    <x v="225"/>
    <x v="74"/>
    <x v="283"/>
    <x v="33"/>
    <x v="142"/>
    <x v="2"/>
  </r>
  <r>
    <x v="0"/>
    <x v="25"/>
    <x v="25"/>
    <x v="45"/>
    <x v="45"/>
    <x v="45"/>
    <x v="8"/>
    <x v="77"/>
    <x v="59"/>
    <x v="46"/>
    <x v="327"/>
    <x v="69"/>
    <x v="127"/>
    <x v="2"/>
  </r>
  <r>
    <x v="0"/>
    <x v="25"/>
    <x v="25"/>
    <x v="12"/>
    <x v="12"/>
    <x v="12"/>
    <x v="9"/>
    <x v="78"/>
    <x v="44"/>
    <x v="60"/>
    <x v="295"/>
    <x v="64"/>
    <x v="251"/>
    <x v="2"/>
  </r>
  <r>
    <x v="0"/>
    <x v="25"/>
    <x v="25"/>
    <x v="21"/>
    <x v="21"/>
    <x v="21"/>
    <x v="9"/>
    <x v="78"/>
    <x v="44"/>
    <x v="79"/>
    <x v="328"/>
    <x v="50"/>
    <x v="45"/>
    <x v="2"/>
  </r>
  <r>
    <x v="0"/>
    <x v="25"/>
    <x v="25"/>
    <x v="14"/>
    <x v="14"/>
    <x v="14"/>
    <x v="11"/>
    <x v="65"/>
    <x v="9"/>
    <x v="81"/>
    <x v="195"/>
    <x v="47"/>
    <x v="106"/>
    <x v="2"/>
  </r>
  <r>
    <x v="0"/>
    <x v="25"/>
    <x v="25"/>
    <x v="30"/>
    <x v="30"/>
    <x v="30"/>
    <x v="12"/>
    <x v="66"/>
    <x v="158"/>
    <x v="60"/>
    <x v="295"/>
    <x v="123"/>
    <x v="157"/>
    <x v="2"/>
  </r>
  <r>
    <x v="0"/>
    <x v="25"/>
    <x v="25"/>
    <x v="7"/>
    <x v="7"/>
    <x v="7"/>
    <x v="12"/>
    <x v="66"/>
    <x v="158"/>
    <x v="64"/>
    <x v="176"/>
    <x v="47"/>
    <x v="106"/>
    <x v="2"/>
  </r>
  <r>
    <x v="0"/>
    <x v="25"/>
    <x v="25"/>
    <x v="20"/>
    <x v="20"/>
    <x v="20"/>
    <x v="14"/>
    <x v="67"/>
    <x v="61"/>
    <x v="35"/>
    <x v="329"/>
    <x v="69"/>
    <x v="127"/>
    <x v="2"/>
  </r>
  <r>
    <x v="0"/>
    <x v="25"/>
    <x v="25"/>
    <x v="13"/>
    <x v="13"/>
    <x v="13"/>
    <x v="14"/>
    <x v="67"/>
    <x v="61"/>
    <x v="79"/>
    <x v="328"/>
    <x v="72"/>
    <x v="6"/>
    <x v="2"/>
  </r>
  <r>
    <x v="0"/>
    <x v="25"/>
    <x v="25"/>
    <x v="15"/>
    <x v="15"/>
    <x v="15"/>
    <x v="16"/>
    <x v="69"/>
    <x v="145"/>
    <x v="59"/>
    <x v="160"/>
    <x v="85"/>
    <x v="217"/>
    <x v="2"/>
  </r>
  <r>
    <x v="0"/>
    <x v="25"/>
    <x v="25"/>
    <x v="16"/>
    <x v="16"/>
    <x v="16"/>
    <x v="17"/>
    <x v="92"/>
    <x v="47"/>
    <x v="48"/>
    <x v="56"/>
    <x v="87"/>
    <x v="206"/>
    <x v="2"/>
  </r>
  <r>
    <x v="0"/>
    <x v="25"/>
    <x v="25"/>
    <x v="8"/>
    <x v="8"/>
    <x v="8"/>
    <x v="18"/>
    <x v="70"/>
    <x v="84"/>
    <x v="30"/>
    <x v="309"/>
    <x v="70"/>
    <x v="205"/>
    <x v="2"/>
  </r>
  <r>
    <x v="0"/>
    <x v="25"/>
    <x v="25"/>
    <x v="25"/>
    <x v="25"/>
    <x v="25"/>
    <x v="18"/>
    <x v="70"/>
    <x v="84"/>
    <x v="59"/>
    <x v="160"/>
    <x v="87"/>
    <x v="206"/>
    <x v="2"/>
  </r>
  <r>
    <x v="0"/>
    <x v="26"/>
    <x v="26"/>
    <x v="0"/>
    <x v="0"/>
    <x v="0"/>
    <x v="0"/>
    <x v="170"/>
    <x v="226"/>
    <x v="65"/>
    <x v="330"/>
    <x v="33"/>
    <x v="144"/>
    <x v="2"/>
  </r>
  <r>
    <x v="0"/>
    <x v="26"/>
    <x v="26"/>
    <x v="1"/>
    <x v="1"/>
    <x v="1"/>
    <x v="1"/>
    <x v="183"/>
    <x v="227"/>
    <x v="50"/>
    <x v="228"/>
    <x v="51"/>
    <x v="252"/>
    <x v="2"/>
  </r>
  <r>
    <x v="0"/>
    <x v="26"/>
    <x v="26"/>
    <x v="5"/>
    <x v="5"/>
    <x v="5"/>
    <x v="2"/>
    <x v="184"/>
    <x v="228"/>
    <x v="137"/>
    <x v="331"/>
    <x v="68"/>
    <x v="124"/>
    <x v="2"/>
  </r>
  <r>
    <x v="0"/>
    <x v="26"/>
    <x v="26"/>
    <x v="6"/>
    <x v="6"/>
    <x v="6"/>
    <x v="3"/>
    <x v="52"/>
    <x v="87"/>
    <x v="148"/>
    <x v="332"/>
    <x v="89"/>
    <x v="179"/>
    <x v="2"/>
  </r>
  <r>
    <x v="0"/>
    <x v="26"/>
    <x v="26"/>
    <x v="2"/>
    <x v="2"/>
    <x v="2"/>
    <x v="4"/>
    <x v="55"/>
    <x v="229"/>
    <x v="108"/>
    <x v="333"/>
    <x v="65"/>
    <x v="253"/>
    <x v="2"/>
  </r>
  <r>
    <x v="0"/>
    <x v="26"/>
    <x v="26"/>
    <x v="3"/>
    <x v="3"/>
    <x v="3"/>
    <x v="5"/>
    <x v="78"/>
    <x v="230"/>
    <x v="54"/>
    <x v="334"/>
    <x v="82"/>
    <x v="153"/>
    <x v="2"/>
  </r>
  <r>
    <x v="0"/>
    <x v="26"/>
    <x v="26"/>
    <x v="7"/>
    <x v="7"/>
    <x v="7"/>
    <x v="6"/>
    <x v="92"/>
    <x v="67"/>
    <x v="64"/>
    <x v="335"/>
    <x v="78"/>
    <x v="10"/>
    <x v="2"/>
  </r>
  <r>
    <x v="0"/>
    <x v="26"/>
    <x v="26"/>
    <x v="4"/>
    <x v="4"/>
    <x v="4"/>
    <x v="6"/>
    <x v="92"/>
    <x v="67"/>
    <x v="63"/>
    <x v="336"/>
    <x v="65"/>
    <x v="253"/>
    <x v="2"/>
  </r>
  <r>
    <x v="0"/>
    <x v="26"/>
    <x v="26"/>
    <x v="8"/>
    <x v="8"/>
    <x v="8"/>
    <x v="8"/>
    <x v="71"/>
    <x v="25"/>
    <x v="52"/>
    <x v="147"/>
    <x v="86"/>
    <x v="254"/>
    <x v="2"/>
  </r>
  <r>
    <x v="0"/>
    <x v="26"/>
    <x v="26"/>
    <x v="29"/>
    <x v="29"/>
    <x v="29"/>
    <x v="8"/>
    <x v="71"/>
    <x v="25"/>
    <x v="26"/>
    <x v="329"/>
    <x v="117"/>
    <x v="255"/>
    <x v="2"/>
  </r>
  <r>
    <x v="0"/>
    <x v="26"/>
    <x v="26"/>
    <x v="14"/>
    <x v="14"/>
    <x v="14"/>
    <x v="10"/>
    <x v="80"/>
    <x v="184"/>
    <x v="44"/>
    <x v="337"/>
    <x v="68"/>
    <x v="124"/>
    <x v="0"/>
  </r>
  <r>
    <x v="0"/>
    <x v="26"/>
    <x v="26"/>
    <x v="34"/>
    <x v="34"/>
    <x v="34"/>
    <x v="11"/>
    <x v="81"/>
    <x v="144"/>
    <x v="53"/>
    <x v="57"/>
    <x v="123"/>
    <x v="211"/>
    <x v="2"/>
  </r>
  <r>
    <x v="0"/>
    <x v="26"/>
    <x v="26"/>
    <x v="11"/>
    <x v="11"/>
    <x v="11"/>
    <x v="12"/>
    <x v="83"/>
    <x v="82"/>
    <x v="27"/>
    <x v="338"/>
    <x v="47"/>
    <x v="256"/>
    <x v="2"/>
  </r>
  <r>
    <x v="0"/>
    <x v="26"/>
    <x v="26"/>
    <x v="19"/>
    <x v="19"/>
    <x v="19"/>
    <x v="12"/>
    <x v="83"/>
    <x v="82"/>
    <x v="48"/>
    <x v="217"/>
    <x v="44"/>
    <x v="257"/>
    <x v="2"/>
  </r>
  <r>
    <x v="0"/>
    <x v="26"/>
    <x v="26"/>
    <x v="15"/>
    <x v="15"/>
    <x v="15"/>
    <x v="12"/>
    <x v="83"/>
    <x v="82"/>
    <x v="53"/>
    <x v="57"/>
    <x v="50"/>
    <x v="175"/>
    <x v="2"/>
  </r>
  <r>
    <x v="0"/>
    <x v="26"/>
    <x v="26"/>
    <x v="12"/>
    <x v="12"/>
    <x v="12"/>
    <x v="15"/>
    <x v="137"/>
    <x v="62"/>
    <x v="72"/>
    <x v="101"/>
    <x v="78"/>
    <x v="10"/>
    <x v="2"/>
  </r>
  <r>
    <x v="0"/>
    <x v="26"/>
    <x v="26"/>
    <x v="20"/>
    <x v="20"/>
    <x v="20"/>
    <x v="16"/>
    <x v="95"/>
    <x v="15"/>
    <x v="64"/>
    <x v="335"/>
    <x v="69"/>
    <x v="39"/>
    <x v="2"/>
  </r>
  <r>
    <x v="0"/>
    <x v="26"/>
    <x v="26"/>
    <x v="47"/>
    <x v="47"/>
    <x v="47"/>
    <x v="17"/>
    <x v="96"/>
    <x v="70"/>
    <x v="29"/>
    <x v="339"/>
    <x v="69"/>
    <x v="39"/>
    <x v="2"/>
  </r>
  <r>
    <x v="0"/>
    <x v="26"/>
    <x v="26"/>
    <x v="48"/>
    <x v="48"/>
    <x v="48"/>
    <x v="18"/>
    <x v="97"/>
    <x v="135"/>
    <x v="80"/>
    <x v="39"/>
    <x v="78"/>
    <x v="10"/>
    <x v="2"/>
  </r>
  <r>
    <x v="0"/>
    <x v="26"/>
    <x v="26"/>
    <x v="9"/>
    <x v="9"/>
    <x v="9"/>
    <x v="18"/>
    <x v="97"/>
    <x v="135"/>
    <x v="33"/>
    <x v="340"/>
    <x v="66"/>
    <x v="146"/>
    <x v="2"/>
  </r>
  <r>
    <x v="0"/>
    <x v="26"/>
    <x v="26"/>
    <x v="22"/>
    <x v="22"/>
    <x v="22"/>
    <x v="18"/>
    <x v="97"/>
    <x v="135"/>
    <x v="72"/>
    <x v="101"/>
    <x v="46"/>
    <x v="250"/>
    <x v="2"/>
  </r>
  <r>
    <x v="0"/>
    <x v="26"/>
    <x v="26"/>
    <x v="31"/>
    <x v="31"/>
    <x v="31"/>
    <x v="18"/>
    <x v="97"/>
    <x v="135"/>
    <x v="48"/>
    <x v="217"/>
    <x v="89"/>
    <x v="179"/>
    <x v="2"/>
  </r>
  <r>
    <x v="0"/>
    <x v="27"/>
    <x v="27"/>
    <x v="1"/>
    <x v="1"/>
    <x v="1"/>
    <x v="0"/>
    <x v="184"/>
    <x v="231"/>
    <x v="108"/>
    <x v="341"/>
    <x v="78"/>
    <x v="83"/>
    <x v="2"/>
  </r>
  <r>
    <x v="0"/>
    <x v="27"/>
    <x v="27"/>
    <x v="0"/>
    <x v="0"/>
    <x v="0"/>
    <x v="1"/>
    <x v="135"/>
    <x v="232"/>
    <x v="148"/>
    <x v="342"/>
    <x v="117"/>
    <x v="223"/>
    <x v="2"/>
  </r>
  <r>
    <x v="0"/>
    <x v="27"/>
    <x v="27"/>
    <x v="3"/>
    <x v="3"/>
    <x v="3"/>
    <x v="2"/>
    <x v="89"/>
    <x v="64"/>
    <x v="133"/>
    <x v="343"/>
    <x v="61"/>
    <x v="171"/>
    <x v="2"/>
  </r>
  <r>
    <x v="0"/>
    <x v="27"/>
    <x v="27"/>
    <x v="4"/>
    <x v="4"/>
    <x v="4"/>
    <x v="3"/>
    <x v="77"/>
    <x v="233"/>
    <x v="152"/>
    <x v="344"/>
    <x v="54"/>
    <x v="231"/>
    <x v="2"/>
  </r>
  <r>
    <x v="0"/>
    <x v="27"/>
    <x v="27"/>
    <x v="2"/>
    <x v="2"/>
    <x v="2"/>
    <x v="4"/>
    <x v="143"/>
    <x v="234"/>
    <x v="141"/>
    <x v="345"/>
    <x v="54"/>
    <x v="231"/>
    <x v="2"/>
  </r>
  <r>
    <x v="0"/>
    <x v="27"/>
    <x v="27"/>
    <x v="11"/>
    <x v="11"/>
    <x v="11"/>
    <x v="5"/>
    <x v="82"/>
    <x v="235"/>
    <x v="81"/>
    <x v="346"/>
    <x v="74"/>
    <x v="104"/>
    <x v="2"/>
  </r>
  <r>
    <x v="0"/>
    <x v="27"/>
    <x v="27"/>
    <x v="46"/>
    <x v="46"/>
    <x v="46"/>
    <x v="6"/>
    <x v="83"/>
    <x v="236"/>
    <x v="81"/>
    <x v="346"/>
    <x v="65"/>
    <x v="142"/>
    <x v="2"/>
  </r>
  <r>
    <x v="0"/>
    <x v="27"/>
    <x v="27"/>
    <x v="14"/>
    <x v="14"/>
    <x v="14"/>
    <x v="7"/>
    <x v="136"/>
    <x v="176"/>
    <x v="64"/>
    <x v="347"/>
    <x v="74"/>
    <x v="104"/>
    <x v="2"/>
  </r>
  <r>
    <x v="0"/>
    <x v="27"/>
    <x v="27"/>
    <x v="7"/>
    <x v="7"/>
    <x v="7"/>
    <x v="7"/>
    <x v="136"/>
    <x v="176"/>
    <x v="50"/>
    <x v="176"/>
    <x v="46"/>
    <x v="204"/>
    <x v="2"/>
  </r>
  <r>
    <x v="0"/>
    <x v="27"/>
    <x v="27"/>
    <x v="42"/>
    <x v="42"/>
    <x v="42"/>
    <x v="9"/>
    <x v="97"/>
    <x v="81"/>
    <x v="29"/>
    <x v="153"/>
    <x v="54"/>
    <x v="231"/>
    <x v="2"/>
  </r>
  <r>
    <x v="0"/>
    <x v="27"/>
    <x v="27"/>
    <x v="39"/>
    <x v="39"/>
    <x v="39"/>
    <x v="10"/>
    <x v="99"/>
    <x v="7"/>
    <x v="70"/>
    <x v="159"/>
    <x v="74"/>
    <x v="104"/>
    <x v="2"/>
  </r>
  <r>
    <x v="0"/>
    <x v="27"/>
    <x v="27"/>
    <x v="54"/>
    <x v="54"/>
    <x v="54"/>
    <x v="10"/>
    <x v="99"/>
    <x v="7"/>
    <x v="87"/>
    <x v="245"/>
    <x v="117"/>
    <x v="223"/>
    <x v="2"/>
  </r>
  <r>
    <x v="0"/>
    <x v="27"/>
    <x v="27"/>
    <x v="45"/>
    <x v="45"/>
    <x v="45"/>
    <x v="10"/>
    <x v="99"/>
    <x v="7"/>
    <x v="29"/>
    <x v="153"/>
    <x v="132"/>
    <x v="188"/>
    <x v="2"/>
  </r>
  <r>
    <x v="0"/>
    <x v="27"/>
    <x v="27"/>
    <x v="17"/>
    <x v="17"/>
    <x v="17"/>
    <x v="13"/>
    <x v="100"/>
    <x v="69"/>
    <x v="42"/>
    <x v="348"/>
    <x v="42"/>
    <x v="29"/>
    <x v="2"/>
  </r>
  <r>
    <x v="0"/>
    <x v="27"/>
    <x v="27"/>
    <x v="6"/>
    <x v="6"/>
    <x v="6"/>
    <x v="13"/>
    <x v="100"/>
    <x v="69"/>
    <x v="70"/>
    <x v="159"/>
    <x v="65"/>
    <x v="142"/>
    <x v="2"/>
  </r>
  <r>
    <x v="0"/>
    <x v="27"/>
    <x v="27"/>
    <x v="41"/>
    <x v="41"/>
    <x v="41"/>
    <x v="15"/>
    <x v="101"/>
    <x v="158"/>
    <x v="48"/>
    <x v="90"/>
    <x v="121"/>
    <x v="234"/>
    <x v="2"/>
  </r>
  <r>
    <x v="0"/>
    <x v="27"/>
    <x v="27"/>
    <x v="52"/>
    <x v="52"/>
    <x v="52"/>
    <x v="15"/>
    <x v="101"/>
    <x v="158"/>
    <x v="50"/>
    <x v="176"/>
    <x v="65"/>
    <x v="142"/>
    <x v="2"/>
  </r>
  <r>
    <x v="0"/>
    <x v="27"/>
    <x v="27"/>
    <x v="13"/>
    <x v="13"/>
    <x v="13"/>
    <x v="17"/>
    <x v="104"/>
    <x v="33"/>
    <x v="98"/>
    <x v="349"/>
    <x v="74"/>
    <x v="104"/>
    <x v="2"/>
  </r>
  <r>
    <x v="0"/>
    <x v="27"/>
    <x v="27"/>
    <x v="47"/>
    <x v="47"/>
    <x v="47"/>
    <x v="18"/>
    <x v="102"/>
    <x v="34"/>
    <x v="87"/>
    <x v="245"/>
    <x v="69"/>
    <x v="258"/>
    <x v="2"/>
  </r>
  <r>
    <x v="0"/>
    <x v="27"/>
    <x v="27"/>
    <x v="10"/>
    <x v="10"/>
    <x v="10"/>
    <x v="19"/>
    <x v="103"/>
    <x v="18"/>
    <x v="52"/>
    <x v="209"/>
    <x v="46"/>
    <x v="204"/>
    <x v="2"/>
  </r>
  <r>
    <x v="0"/>
    <x v="27"/>
    <x v="27"/>
    <x v="18"/>
    <x v="18"/>
    <x v="18"/>
    <x v="19"/>
    <x v="103"/>
    <x v="18"/>
    <x v="80"/>
    <x v="182"/>
    <x v="61"/>
    <x v="171"/>
    <x v="2"/>
  </r>
  <r>
    <x v="0"/>
    <x v="28"/>
    <x v="28"/>
    <x v="0"/>
    <x v="0"/>
    <x v="0"/>
    <x v="0"/>
    <x v="189"/>
    <x v="237"/>
    <x v="143"/>
    <x v="350"/>
    <x v="121"/>
    <x v="87"/>
    <x v="2"/>
  </r>
  <r>
    <x v="0"/>
    <x v="28"/>
    <x v="28"/>
    <x v="2"/>
    <x v="2"/>
    <x v="2"/>
    <x v="1"/>
    <x v="140"/>
    <x v="221"/>
    <x v="67"/>
    <x v="351"/>
    <x v="74"/>
    <x v="2"/>
    <x v="2"/>
  </r>
  <r>
    <x v="0"/>
    <x v="28"/>
    <x v="28"/>
    <x v="5"/>
    <x v="5"/>
    <x v="5"/>
    <x v="2"/>
    <x v="185"/>
    <x v="88"/>
    <x v="125"/>
    <x v="352"/>
    <x v="82"/>
    <x v="259"/>
    <x v="2"/>
  </r>
  <r>
    <x v="0"/>
    <x v="28"/>
    <x v="28"/>
    <x v="3"/>
    <x v="3"/>
    <x v="3"/>
    <x v="3"/>
    <x v="94"/>
    <x v="140"/>
    <x v="117"/>
    <x v="353"/>
    <x v="117"/>
    <x v="22"/>
    <x v="2"/>
  </r>
  <r>
    <x v="0"/>
    <x v="28"/>
    <x v="28"/>
    <x v="4"/>
    <x v="4"/>
    <x v="4"/>
    <x v="4"/>
    <x v="77"/>
    <x v="238"/>
    <x v="152"/>
    <x v="354"/>
    <x v="54"/>
    <x v="247"/>
    <x v="2"/>
  </r>
  <r>
    <x v="0"/>
    <x v="28"/>
    <x v="28"/>
    <x v="9"/>
    <x v="9"/>
    <x v="9"/>
    <x v="5"/>
    <x v="69"/>
    <x v="198"/>
    <x v="30"/>
    <x v="355"/>
    <x v="63"/>
    <x v="260"/>
    <x v="2"/>
  </r>
  <r>
    <x v="0"/>
    <x v="28"/>
    <x v="28"/>
    <x v="1"/>
    <x v="1"/>
    <x v="1"/>
    <x v="5"/>
    <x v="69"/>
    <x v="198"/>
    <x v="80"/>
    <x v="68"/>
    <x v="86"/>
    <x v="261"/>
    <x v="2"/>
  </r>
  <r>
    <x v="0"/>
    <x v="28"/>
    <x v="28"/>
    <x v="19"/>
    <x v="19"/>
    <x v="19"/>
    <x v="7"/>
    <x v="72"/>
    <x v="183"/>
    <x v="27"/>
    <x v="356"/>
    <x v="58"/>
    <x v="262"/>
    <x v="2"/>
  </r>
  <r>
    <x v="0"/>
    <x v="28"/>
    <x v="28"/>
    <x v="6"/>
    <x v="6"/>
    <x v="6"/>
    <x v="7"/>
    <x v="72"/>
    <x v="183"/>
    <x v="26"/>
    <x v="327"/>
    <x v="120"/>
    <x v="44"/>
    <x v="2"/>
  </r>
  <r>
    <x v="0"/>
    <x v="28"/>
    <x v="28"/>
    <x v="7"/>
    <x v="7"/>
    <x v="7"/>
    <x v="9"/>
    <x v="73"/>
    <x v="27"/>
    <x v="79"/>
    <x v="148"/>
    <x v="78"/>
    <x v="186"/>
    <x v="2"/>
  </r>
  <r>
    <x v="0"/>
    <x v="28"/>
    <x v="28"/>
    <x v="17"/>
    <x v="17"/>
    <x v="17"/>
    <x v="10"/>
    <x v="80"/>
    <x v="28"/>
    <x v="53"/>
    <x v="57"/>
    <x v="86"/>
    <x v="261"/>
    <x v="2"/>
  </r>
  <r>
    <x v="0"/>
    <x v="28"/>
    <x v="28"/>
    <x v="25"/>
    <x v="25"/>
    <x v="25"/>
    <x v="10"/>
    <x v="80"/>
    <x v="28"/>
    <x v="52"/>
    <x v="31"/>
    <x v="50"/>
    <x v="85"/>
    <x v="2"/>
  </r>
  <r>
    <x v="0"/>
    <x v="28"/>
    <x v="28"/>
    <x v="10"/>
    <x v="10"/>
    <x v="10"/>
    <x v="12"/>
    <x v="81"/>
    <x v="117"/>
    <x v="31"/>
    <x v="39"/>
    <x v="72"/>
    <x v="263"/>
    <x v="2"/>
  </r>
  <r>
    <x v="0"/>
    <x v="28"/>
    <x v="28"/>
    <x v="48"/>
    <x v="48"/>
    <x v="48"/>
    <x v="13"/>
    <x v="136"/>
    <x v="11"/>
    <x v="80"/>
    <x v="68"/>
    <x v="47"/>
    <x v="18"/>
    <x v="2"/>
  </r>
  <r>
    <x v="0"/>
    <x v="28"/>
    <x v="28"/>
    <x v="11"/>
    <x v="11"/>
    <x v="11"/>
    <x v="14"/>
    <x v="137"/>
    <x v="32"/>
    <x v="31"/>
    <x v="39"/>
    <x v="47"/>
    <x v="18"/>
    <x v="2"/>
  </r>
  <r>
    <x v="0"/>
    <x v="28"/>
    <x v="28"/>
    <x v="18"/>
    <x v="18"/>
    <x v="18"/>
    <x v="14"/>
    <x v="137"/>
    <x v="32"/>
    <x v="48"/>
    <x v="303"/>
    <x v="72"/>
    <x v="263"/>
    <x v="2"/>
  </r>
  <r>
    <x v="0"/>
    <x v="28"/>
    <x v="28"/>
    <x v="8"/>
    <x v="8"/>
    <x v="8"/>
    <x v="16"/>
    <x v="95"/>
    <x v="62"/>
    <x v="30"/>
    <x v="355"/>
    <x v="89"/>
    <x v="264"/>
    <x v="2"/>
  </r>
  <r>
    <x v="0"/>
    <x v="28"/>
    <x v="28"/>
    <x v="13"/>
    <x v="13"/>
    <x v="13"/>
    <x v="16"/>
    <x v="95"/>
    <x v="62"/>
    <x v="87"/>
    <x v="176"/>
    <x v="68"/>
    <x v="12"/>
    <x v="2"/>
  </r>
  <r>
    <x v="0"/>
    <x v="28"/>
    <x v="28"/>
    <x v="55"/>
    <x v="55"/>
    <x v="55"/>
    <x v="18"/>
    <x v="96"/>
    <x v="15"/>
    <x v="52"/>
    <x v="31"/>
    <x v="89"/>
    <x v="264"/>
    <x v="2"/>
  </r>
  <r>
    <x v="0"/>
    <x v="28"/>
    <x v="28"/>
    <x v="14"/>
    <x v="14"/>
    <x v="14"/>
    <x v="18"/>
    <x v="96"/>
    <x v="15"/>
    <x v="78"/>
    <x v="357"/>
    <x v="120"/>
    <x v="44"/>
    <x v="2"/>
  </r>
  <r>
    <x v="0"/>
    <x v="28"/>
    <x v="28"/>
    <x v="29"/>
    <x v="29"/>
    <x v="29"/>
    <x v="18"/>
    <x v="96"/>
    <x v="15"/>
    <x v="87"/>
    <x v="176"/>
    <x v="42"/>
    <x v="61"/>
    <x v="2"/>
  </r>
  <r>
    <x v="0"/>
    <x v="29"/>
    <x v="29"/>
    <x v="4"/>
    <x v="4"/>
    <x v="4"/>
    <x v="0"/>
    <x v="130"/>
    <x v="239"/>
    <x v="156"/>
    <x v="358"/>
    <x v="74"/>
    <x v="44"/>
    <x v="2"/>
  </r>
  <r>
    <x v="0"/>
    <x v="29"/>
    <x v="29"/>
    <x v="0"/>
    <x v="0"/>
    <x v="0"/>
    <x v="1"/>
    <x v="47"/>
    <x v="240"/>
    <x v="157"/>
    <x v="359"/>
    <x v="117"/>
    <x v="198"/>
    <x v="2"/>
  </r>
  <r>
    <x v="0"/>
    <x v="29"/>
    <x v="29"/>
    <x v="1"/>
    <x v="1"/>
    <x v="1"/>
    <x v="2"/>
    <x v="156"/>
    <x v="241"/>
    <x v="141"/>
    <x v="327"/>
    <x v="81"/>
    <x v="265"/>
    <x v="2"/>
  </r>
  <r>
    <x v="0"/>
    <x v="29"/>
    <x v="29"/>
    <x v="3"/>
    <x v="3"/>
    <x v="3"/>
    <x v="3"/>
    <x v="50"/>
    <x v="242"/>
    <x v="155"/>
    <x v="360"/>
    <x v="33"/>
    <x v="196"/>
    <x v="2"/>
  </r>
  <r>
    <x v="0"/>
    <x v="29"/>
    <x v="29"/>
    <x v="2"/>
    <x v="2"/>
    <x v="2"/>
    <x v="4"/>
    <x v="163"/>
    <x v="243"/>
    <x v="139"/>
    <x v="43"/>
    <x v="69"/>
    <x v="192"/>
    <x v="2"/>
  </r>
  <r>
    <x v="0"/>
    <x v="29"/>
    <x v="29"/>
    <x v="6"/>
    <x v="6"/>
    <x v="6"/>
    <x v="5"/>
    <x v="94"/>
    <x v="244"/>
    <x v="74"/>
    <x v="361"/>
    <x v="68"/>
    <x v="194"/>
    <x v="2"/>
  </r>
  <r>
    <x v="0"/>
    <x v="29"/>
    <x v="29"/>
    <x v="10"/>
    <x v="10"/>
    <x v="10"/>
    <x v="6"/>
    <x v="64"/>
    <x v="235"/>
    <x v="80"/>
    <x v="362"/>
    <x v="67"/>
    <x v="266"/>
    <x v="2"/>
  </r>
  <r>
    <x v="0"/>
    <x v="29"/>
    <x v="29"/>
    <x v="11"/>
    <x v="11"/>
    <x v="11"/>
    <x v="7"/>
    <x v="68"/>
    <x v="245"/>
    <x v="49"/>
    <x v="148"/>
    <x v="33"/>
    <x v="196"/>
    <x v="2"/>
  </r>
  <r>
    <x v="0"/>
    <x v="29"/>
    <x v="29"/>
    <x v="12"/>
    <x v="12"/>
    <x v="12"/>
    <x v="7"/>
    <x v="68"/>
    <x v="245"/>
    <x v="78"/>
    <x v="229"/>
    <x v="88"/>
    <x v="267"/>
    <x v="2"/>
  </r>
  <r>
    <x v="0"/>
    <x v="29"/>
    <x v="29"/>
    <x v="5"/>
    <x v="5"/>
    <x v="5"/>
    <x v="9"/>
    <x v="69"/>
    <x v="79"/>
    <x v="54"/>
    <x v="6"/>
    <x v="69"/>
    <x v="192"/>
    <x v="2"/>
  </r>
  <r>
    <x v="0"/>
    <x v="29"/>
    <x v="29"/>
    <x v="8"/>
    <x v="8"/>
    <x v="8"/>
    <x v="10"/>
    <x v="79"/>
    <x v="116"/>
    <x v="60"/>
    <x v="363"/>
    <x v="72"/>
    <x v="108"/>
    <x v="2"/>
  </r>
  <r>
    <x v="0"/>
    <x v="29"/>
    <x v="29"/>
    <x v="45"/>
    <x v="45"/>
    <x v="45"/>
    <x v="11"/>
    <x v="72"/>
    <x v="184"/>
    <x v="63"/>
    <x v="364"/>
    <x v="132"/>
    <x v="188"/>
    <x v="2"/>
  </r>
  <r>
    <x v="0"/>
    <x v="29"/>
    <x v="29"/>
    <x v="13"/>
    <x v="13"/>
    <x v="13"/>
    <x v="11"/>
    <x v="72"/>
    <x v="184"/>
    <x v="81"/>
    <x v="132"/>
    <x v="82"/>
    <x v="214"/>
    <x v="2"/>
  </r>
  <r>
    <x v="0"/>
    <x v="29"/>
    <x v="29"/>
    <x v="9"/>
    <x v="9"/>
    <x v="9"/>
    <x v="13"/>
    <x v="81"/>
    <x v="11"/>
    <x v="52"/>
    <x v="303"/>
    <x v="79"/>
    <x v="268"/>
    <x v="2"/>
  </r>
  <r>
    <x v="0"/>
    <x v="29"/>
    <x v="29"/>
    <x v="7"/>
    <x v="7"/>
    <x v="7"/>
    <x v="14"/>
    <x v="82"/>
    <x v="83"/>
    <x v="42"/>
    <x v="39"/>
    <x v="47"/>
    <x v="29"/>
    <x v="2"/>
  </r>
  <r>
    <x v="0"/>
    <x v="29"/>
    <x v="29"/>
    <x v="47"/>
    <x v="47"/>
    <x v="47"/>
    <x v="15"/>
    <x v="83"/>
    <x v="118"/>
    <x v="81"/>
    <x v="132"/>
    <x v="65"/>
    <x v="191"/>
    <x v="2"/>
  </r>
  <r>
    <x v="0"/>
    <x v="29"/>
    <x v="29"/>
    <x v="42"/>
    <x v="42"/>
    <x v="42"/>
    <x v="16"/>
    <x v="136"/>
    <x v="120"/>
    <x v="81"/>
    <x v="132"/>
    <x v="69"/>
    <x v="192"/>
    <x v="2"/>
  </r>
  <r>
    <x v="0"/>
    <x v="29"/>
    <x v="29"/>
    <x v="14"/>
    <x v="14"/>
    <x v="14"/>
    <x v="17"/>
    <x v="137"/>
    <x v="35"/>
    <x v="79"/>
    <x v="365"/>
    <x v="82"/>
    <x v="214"/>
    <x v="2"/>
  </r>
  <r>
    <x v="0"/>
    <x v="29"/>
    <x v="29"/>
    <x v="18"/>
    <x v="18"/>
    <x v="18"/>
    <x v="18"/>
    <x v="95"/>
    <x v="48"/>
    <x v="33"/>
    <x v="366"/>
    <x v="47"/>
    <x v="29"/>
    <x v="2"/>
  </r>
  <r>
    <x v="0"/>
    <x v="29"/>
    <x v="29"/>
    <x v="21"/>
    <x v="21"/>
    <x v="21"/>
    <x v="19"/>
    <x v="96"/>
    <x v="49"/>
    <x v="78"/>
    <x v="229"/>
    <x v="120"/>
    <x v="55"/>
    <x v="2"/>
  </r>
  <r>
    <x v="0"/>
    <x v="30"/>
    <x v="30"/>
    <x v="2"/>
    <x v="2"/>
    <x v="2"/>
    <x v="0"/>
    <x v="185"/>
    <x v="246"/>
    <x v="67"/>
    <x v="367"/>
    <x v="54"/>
    <x v="253"/>
    <x v="2"/>
  </r>
  <r>
    <x v="0"/>
    <x v="30"/>
    <x v="30"/>
    <x v="0"/>
    <x v="0"/>
    <x v="0"/>
    <x v="1"/>
    <x v="91"/>
    <x v="20"/>
    <x v="47"/>
    <x v="368"/>
    <x v="65"/>
    <x v="269"/>
    <x v="2"/>
  </r>
  <r>
    <x v="0"/>
    <x v="30"/>
    <x v="30"/>
    <x v="11"/>
    <x v="11"/>
    <x v="11"/>
    <x v="2"/>
    <x v="143"/>
    <x v="247"/>
    <x v="73"/>
    <x v="196"/>
    <x v="68"/>
    <x v="270"/>
    <x v="2"/>
  </r>
  <r>
    <x v="0"/>
    <x v="30"/>
    <x v="30"/>
    <x v="3"/>
    <x v="3"/>
    <x v="3"/>
    <x v="3"/>
    <x v="79"/>
    <x v="248"/>
    <x v="63"/>
    <x v="369"/>
    <x v="54"/>
    <x v="253"/>
    <x v="2"/>
  </r>
  <r>
    <x v="0"/>
    <x v="30"/>
    <x v="30"/>
    <x v="8"/>
    <x v="8"/>
    <x v="8"/>
    <x v="4"/>
    <x v="137"/>
    <x v="77"/>
    <x v="80"/>
    <x v="370"/>
    <x v="76"/>
    <x v="271"/>
    <x v="2"/>
  </r>
  <r>
    <x v="0"/>
    <x v="30"/>
    <x v="30"/>
    <x v="14"/>
    <x v="14"/>
    <x v="14"/>
    <x v="5"/>
    <x v="95"/>
    <x v="198"/>
    <x v="70"/>
    <x v="371"/>
    <x v="82"/>
    <x v="195"/>
    <x v="2"/>
  </r>
  <r>
    <x v="0"/>
    <x v="30"/>
    <x v="30"/>
    <x v="4"/>
    <x v="4"/>
    <x v="4"/>
    <x v="5"/>
    <x v="95"/>
    <x v="198"/>
    <x v="49"/>
    <x v="372"/>
    <x v="132"/>
    <x v="188"/>
    <x v="2"/>
  </r>
  <r>
    <x v="0"/>
    <x v="30"/>
    <x v="30"/>
    <x v="7"/>
    <x v="7"/>
    <x v="7"/>
    <x v="7"/>
    <x v="96"/>
    <x v="55"/>
    <x v="70"/>
    <x v="371"/>
    <x v="61"/>
    <x v="272"/>
    <x v="2"/>
  </r>
  <r>
    <x v="0"/>
    <x v="30"/>
    <x v="30"/>
    <x v="13"/>
    <x v="13"/>
    <x v="13"/>
    <x v="7"/>
    <x v="96"/>
    <x v="55"/>
    <x v="44"/>
    <x v="373"/>
    <x v="74"/>
    <x v="273"/>
    <x v="2"/>
  </r>
  <r>
    <x v="0"/>
    <x v="30"/>
    <x v="30"/>
    <x v="10"/>
    <x v="10"/>
    <x v="10"/>
    <x v="9"/>
    <x v="98"/>
    <x v="56"/>
    <x v="53"/>
    <x v="57"/>
    <x v="88"/>
    <x v="274"/>
    <x v="2"/>
  </r>
  <r>
    <x v="0"/>
    <x v="30"/>
    <x v="30"/>
    <x v="42"/>
    <x v="42"/>
    <x v="42"/>
    <x v="10"/>
    <x v="100"/>
    <x v="178"/>
    <x v="70"/>
    <x v="371"/>
    <x v="65"/>
    <x v="269"/>
    <x v="2"/>
  </r>
  <r>
    <x v="0"/>
    <x v="30"/>
    <x v="30"/>
    <x v="49"/>
    <x v="49"/>
    <x v="49"/>
    <x v="11"/>
    <x v="101"/>
    <x v="144"/>
    <x v="60"/>
    <x v="70"/>
    <x v="117"/>
    <x v="6"/>
    <x v="2"/>
  </r>
  <r>
    <x v="0"/>
    <x v="30"/>
    <x v="30"/>
    <x v="9"/>
    <x v="9"/>
    <x v="9"/>
    <x v="11"/>
    <x v="101"/>
    <x v="144"/>
    <x v="30"/>
    <x v="374"/>
    <x v="33"/>
    <x v="275"/>
    <x v="2"/>
  </r>
  <r>
    <x v="0"/>
    <x v="30"/>
    <x v="30"/>
    <x v="5"/>
    <x v="5"/>
    <x v="5"/>
    <x v="13"/>
    <x v="104"/>
    <x v="31"/>
    <x v="78"/>
    <x v="145"/>
    <x v="132"/>
    <x v="188"/>
    <x v="2"/>
  </r>
  <r>
    <x v="0"/>
    <x v="30"/>
    <x v="30"/>
    <x v="40"/>
    <x v="40"/>
    <x v="40"/>
    <x v="14"/>
    <x v="103"/>
    <x v="14"/>
    <x v="52"/>
    <x v="366"/>
    <x v="46"/>
    <x v="276"/>
    <x v="2"/>
  </r>
  <r>
    <x v="0"/>
    <x v="30"/>
    <x v="30"/>
    <x v="1"/>
    <x v="1"/>
    <x v="1"/>
    <x v="14"/>
    <x v="103"/>
    <x v="14"/>
    <x v="42"/>
    <x v="280"/>
    <x v="120"/>
    <x v="200"/>
    <x v="2"/>
  </r>
  <r>
    <x v="0"/>
    <x v="30"/>
    <x v="30"/>
    <x v="21"/>
    <x v="21"/>
    <x v="21"/>
    <x v="14"/>
    <x v="103"/>
    <x v="14"/>
    <x v="98"/>
    <x v="375"/>
    <x v="69"/>
    <x v="182"/>
    <x v="2"/>
  </r>
  <r>
    <x v="0"/>
    <x v="30"/>
    <x v="30"/>
    <x v="22"/>
    <x v="22"/>
    <x v="22"/>
    <x v="17"/>
    <x v="172"/>
    <x v="48"/>
    <x v="31"/>
    <x v="136"/>
    <x v="61"/>
    <x v="272"/>
    <x v="2"/>
  </r>
  <r>
    <x v="0"/>
    <x v="30"/>
    <x v="30"/>
    <x v="56"/>
    <x v="56"/>
    <x v="56"/>
    <x v="18"/>
    <x v="190"/>
    <x v="50"/>
    <x v="33"/>
    <x v="376"/>
    <x v="61"/>
    <x v="272"/>
    <x v="2"/>
  </r>
  <r>
    <x v="0"/>
    <x v="30"/>
    <x v="30"/>
    <x v="41"/>
    <x v="41"/>
    <x v="41"/>
    <x v="19"/>
    <x v="173"/>
    <x v="249"/>
    <x v="80"/>
    <x v="370"/>
    <x v="74"/>
    <x v="273"/>
    <x v="2"/>
  </r>
  <r>
    <x v="0"/>
    <x v="30"/>
    <x v="30"/>
    <x v="39"/>
    <x v="39"/>
    <x v="39"/>
    <x v="19"/>
    <x v="173"/>
    <x v="249"/>
    <x v="27"/>
    <x v="377"/>
    <x v="65"/>
    <x v="269"/>
    <x v="2"/>
  </r>
  <r>
    <x v="0"/>
    <x v="30"/>
    <x v="30"/>
    <x v="46"/>
    <x v="46"/>
    <x v="46"/>
    <x v="19"/>
    <x v="173"/>
    <x v="249"/>
    <x v="42"/>
    <x v="280"/>
    <x v="69"/>
    <x v="182"/>
    <x v="2"/>
  </r>
  <r>
    <x v="0"/>
    <x v="30"/>
    <x v="30"/>
    <x v="52"/>
    <x v="52"/>
    <x v="52"/>
    <x v="19"/>
    <x v="173"/>
    <x v="249"/>
    <x v="60"/>
    <x v="70"/>
    <x v="90"/>
    <x v="67"/>
    <x v="2"/>
  </r>
  <r>
    <x v="0"/>
    <x v="31"/>
    <x v="31"/>
    <x v="1"/>
    <x v="1"/>
    <x v="1"/>
    <x v="0"/>
    <x v="191"/>
    <x v="250"/>
    <x v="78"/>
    <x v="95"/>
    <x v="145"/>
    <x v="277"/>
    <x v="2"/>
  </r>
  <r>
    <x v="0"/>
    <x v="31"/>
    <x v="31"/>
    <x v="0"/>
    <x v="0"/>
    <x v="0"/>
    <x v="1"/>
    <x v="76"/>
    <x v="251"/>
    <x v="96"/>
    <x v="378"/>
    <x v="47"/>
    <x v="3"/>
    <x v="2"/>
  </r>
  <r>
    <x v="0"/>
    <x v="31"/>
    <x v="31"/>
    <x v="15"/>
    <x v="15"/>
    <x v="15"/>
    <x v="2"/>
    <x v="141"/>
    <x v="252"/>
    <x v="30"/>
    <x v="28"/>
    <x v="22"/>
    <x v="278"/>
    <x v="2"/>
  </r>
  <r>
    <x v="0"/>
    <x v="31"/>
    <x v="31"/>
    <x v="6"/>
    <x v="6"/>
    <x v="6"/>
    <x v="3"/>
    <x v="135"/>
    <x v="253"/>
    <x v="69"/>
    <x v="186"/>
    <x v="50"/>
    <x v="196"/>
    <x v="0"/>
  </r>
  <r>
    <x v="0"/>
    <x v="31"/>
    <x v="31"/>
    <x v="4"/>
    <x v="4"/>
    <x v="4"/>
    <x v="4"/>
    <x v="91"/>
    <x v="235"/>
    <x v="77"/>
    <x v="379"/>
    <x v="117"/>
    <x v="176"/>
    <x v="2"/>
  </r>
  <r>
    <x v="0"/>
    <x v="31"/>
    <x v="31"/>
    <x v="2"/>
    <x v="2"/>
    <x v="2"/>
    <x v="5"/>
    <x v="108"/>
    <x v="254"/>
    <x v="117"/>
    <x v="380"/>
    <x v="82"/>
    <x v="174"/>
    <x v="2"/>
  </r>
  <r>
    <x v="0"/>
    <x v="31"/>
    <x v="31"/>
    <x v="3"/>
    <x v="3"/>
    <x v="3"/>
    <x v="6"/>
    <x v="94"/>
    <x v="142"/>
    <x v="61"/>
    <x v="381"/>
    <x v="89"/>
    <x v="279"/>
    <x v="2"/>
  </r>
  <r>
    <x v="0"/>
    <x v="31"/>
    <x v="31"/>
    <x v="34"/>
    <x v="34"/>
    <x v="34"/>
    <x v="7"/>
    <x v="62"/>
    <x v="255"/>
    <x v="53"/>
    <x v="57"/>
    <x v="60"/>
    <x v="118"/>
    <x v="2"/>
  </r>
  <r>
    <x v="0"/>
    <x v="31"/>
    <x v="31"/>
    <x v="57"/>
    <x v="57"/>
    <x v="57"/>
    <x v="7"/>
    <x v="62"/>
    <x v="255"/>
    <x v="53"/>
    <x v="57"/>
    <x v="60"/>
    <x v="118"/>
    <x v="2"/>
  </r>
  <r>
    <x v="0"/>
    <x v="31"/>
    <x v="31"/>
    <x v="5"/>
    <x v="5"/>
    <x v="5"/>
    <x v="9"/>
    <x v="63"/>
    <x v="193"/>
    <x v="58"/>
    <x v="382"/>
    <x v="61"/>
    <x v="2"/>
    <x v="2"/>
  </r>
  <r>
    <x v="0"/>
    <x v="31"/>
    <x v="31"/>
    <x v="31"/>
    <x v="31"/>
    <x v="31"/>
    <x v="10"/>
    <x v="78"/>
    <x v="256"/>
    <x v="59"/>
    <x v="56"/>
    <x v="53"/>
    <x v="257"/>
    <x v="2"/>
  </r>
  <r>
    <x v="0"/>
    <x v="31"/>
    <x v="31"/>
    <x v="25"/>
    <x v="25"/>
    <x v="25"/>
    <x v="11"/>
    <x v="69"/>
    <x v="184"/>
    <x v="59"/>
    <x v="56"/>
    <x v="85"/>
    <x v="7"/>
    <x v="2"/>
  </r>
  <r>
    <x v="0"/>
    <x v="31"/>
    <x v="31"/>
    <x v="7"/>
    <x v="7"/>
    <x v="7"/>
    <x v="12"/>
    <x v="72"/>
    <x v="12"/>
    <x v="70"/>
    <x v="383"/>
    <x v="66"/>
    <x v="13"/>
    <x v="2"/>
  </r>
  <r>
    <x v="0"/>
    <x v="31"/>
    <x v="31"/>
    <x v="20"/>
    <x v="20"/>
    <x v="20"/>
    <x v="12"/>
    <x v="72"/>
    <x v="12"/>
    <x v="61"/>
    <x v="381"/>
    <x v="65"/>
    <x v="101"/>
    <x v="2"/>
  </r>
  <r>
    <x v="0"/>
    <x v="31"/>
    <x v="31"/>
    <x v="38"/>
    <x v="38"/>
    <x v="38"/>
    <x v="12"/>
    <x v="72"/>
    <x v="12"/>
    <x v="53"/>
    <x v="57"/>
    <x v="64"/>
    <x v="280"/>
    <x v="2"/>
  </r>
  <r>
    <x v="0"/>
    <x v="31"/>
    <x v="31"/>
    <x v="24"/>
    <x v="24"/>
    <x v="24"/>
    <x v="15"/>
    <x v="73"/>
    <x v="33"/>
    <x v="79"/>
    <x v="384"/>
    <x v="78"/>
    <x v="71"/>
    <x v="2"/>
  </r>
  <r>
    <x v="0"/>
    <x v="31"/>
    <x v="31"/>
    <x v="36"/>
    <x v="36"/>
    <x v="36"/>
    <x v="16"/>
    <x v="81"/>
    <x v="35"/>
    <x v="53"/>
    <x v="57"/>
    <x v="123"/>
    <x v="281"/>
    <x v="2"/>
  </r>
  <r>
    <x v="0"/>
    <x v="31"/>
    <x v="31"/>
    <x v="10"/>
    <x v="10"/>
    <x v="10"/>
    <x v="17"/>
    <x v="83"/>
    <x v="185"/>
    <x v="59"/>
    <x v="56"/>
    <x v="79"/>
    <x v="122"/>
    <x v="2"/>
  </r>
  <r>
    <x v="0"/>
    <x v="31"/>
    <x v="31"/>
    <x v="14"/>
    <x v="14"/>
    <x v="14"/>
    <x v="18"/>
    <x v="137"/>
    <x v="257"/>
    <x v="31"/>
    <x v="385"/>
    <x v="47"/>
    <x v="3"/>
    <x v="2"/>
  </r>
  <r>
    <x v="0"/>
    <x v="31"/>
    <x v="31"/>
    <x v="27"/>
    <x v="27"/>
    <x v="27"/>
    <x v="19"/>
    <x v="96"/>
    <x v="258"/>
    <x v="59"/>
    <x v="56"/>
    <x v="84"/>
    <x v="230"/>
    <x v="2"/>
  </r>
  <r>
    <x v="0"/>
    <x v="31"/>
    <x v="31"/>
    <x v="22"/>
    <x v="22"/>
    <x v="22"/>
    <x v="19"/>
    <x v="96"/>
    <x v="258"/>
    <x v="30"/>
    <x v="28"/>
    <x v="47"/>
    <x v="3"/>
    <x v="2"/>
  </r>
  <r>
    <x v="0"/>
    <x v="31"/>
    <x v="31"/>
    <x v="18"/>
    <x v="18"/>
    <x v="18"/>
    <x v="19"/>
    <x v="96"/>
    <x v="258"/>
    <x v="48"/>
    <x v="309"/>
    <x v="88"/>
    <x v="37"/>
    <x v="2"/>
  </r>
  <r>
    <x v="0"/>
    <x v="31"/>
    <x v="31"/>
    <x v="21"/>
    <x v="21"/>
    <x v="21"/>
    <x v="19"/>
    <x v="96"/>
    <x v="258"/>
    <x v="80"/>
    <x v="180"/>
    <x v="121"/>
    <x v="282"/>
    <x v="2"/>
  </r>
  <r>
    <x v="0"/>
    <x v="32"/>
    <x v="32"/>
    <x v="0"/>
    <x v="0"/>
    <x v="0"/>
    <x v="0"/>
    <x v="60"/>
    <x v="259"/>
    <x v="126"/>
    <x v="386"/>
    <x v="78"/>
    <x v="103"/>
    <x v="2"/>
  </r>
  <r>
    <x v="0"/>
    <x v="32"/>
    <x v="32"/>
    <x v="58"/>
    <x v="58"/>
    <x v="58"/>
    <x v="1"/>
    <x v="94"/>
    <x v="260"/>
    <x v="52"/>
    <x v="137"/>
    <x v="75"/>
    <x v="283"/>
    <x v="2"/>
  </r>
  <r>
    <x v="0"/>
    <x v="32"/>
    <x v="32"/>
    <x v="1"/>
    <x v="1"/>
    <x v="1"/>
    <x v="1"/>
    <x v="94"/>
    <x v="260"/>
    <x v="42"/>
    <x v="218"/>
    <x v="119"/>
    <x v="284"/>
    <x v="2"/>
  </r>
  <r>
    <x v="0"/>
    <x v="32"/>
    <x v="32"/>
    <x v="2"/>
    <x v="2"/>
    <x v="2"/>
    <x v="3"/>
    <x v="143"/>
    <x v="101"/>
    <x v="141"/>
    <x v="123"/>
    <x v="54"/>
    <x v="285"/>
    <x v="2"/>
  </r>
  <r>
    <x v="0"/>
    <x v="32"/>
    <x v="32"/>
    <x v="6"/>
    <x v="6"/>
    <x v="6"/>
    <x v="3"/>
    <x v="143"/>
    <x v="101"/>
    <x v="138"/>
    <x v="387"/>
    <x v="46"/>
    <x v="0"/>
    <x v="2"/>
  </r>
  <r>
    <x v="0"/>
    <x v="32"/>
    <x v="32"/>
    <x v="12"/>
    <x v="12"/>
    <x v="12"/>
    <x v="5"/>
    <x v="67"/>
    <x v="130"/>
    <x v="80"/>
    <x v="66"/>
    <x v="64"/>
    <x v="286"/>
    <x v="2"/>
  </r>
  <r>
    <x v="0"/>
    <x v="32"/>
    <x v="32"/>
    <x v="5"/>
    <x v="5"/>
    <x v="5"/>
    <x v="6"/>
    <x v="69"/>
    <x v="40"/>
    <x v="15"/>
    <x v="388"/>
    <x v="65"/>
    <x v="287"/>
    <x v="2"/>
  </r>
  <r>
    <x v="0"/>
    <x v="32"/>
    <x v="32"/>
    <x v="8"/>
    <x v="8"/>
    <x v="8"/>
    <x v="7"/>
    <x v="73"/>
    <x v="176"/>
    <x v="59"/>
    <x v="389"/>
    <x v="86"/>
    <x v="288"/>
    <x v="2"/>
  </r>
  <r>
    <x v="0"/>
    <x v="32"/>
    <x v="32"/>
    <x v="3"/>
    <x v="3"/>
    <x v="3"/>
    <x v="7"/>
    <x v="73"/>
    <x v="176"/>
    <x v="81"/>
    <x v="278"/>
    <x v="61"/>
    <x v="201"/>
    <x v="2"/>
  </r>
  <r>
    <x v="0"/>
    <x v="32"/>
    <x v="32"/>
    <x v="29"/>
    <x v="29"/>
    <x v="29"/>
    <x v="9"/>
    <x v="81"/>
    <x v="67"/>
    <x v="75"/>
    <x v="108"/>
    <x v="42"/>
    <x v="289"/>
    <x v="2"/>
  </r>
  <r>
    <x v="0"/>
    <x v="32"/>
    <x v="32"/>
    <x v="13"/>
    <x v="13"/>
    <x v="13"/>
    <x v="9"/>
    <x v="81"/>
    <x v="67"/>
    <x v="50"/>
    <x v="69"/>
    <x v="78"/>
    <x v="103"/>
    <x v="2"/>
  </r>
  <r>
    <x v="0"/>
    <x v="32"/>
    <x v="32"/>
    <x v="4"/>
    <x v="4"/>
    <x v="4"/>
    <x v="11"/>
    <x v="82"/>
    <x v="79"/>
    <x v="29"/>
    <x v="336"/>
    <x v="61"/>
    <x v="201"/>
    <x v="2"/>
  </r>
  <r>
    <x v="0"/>
    <x v="32"/>
    <x v="32"/>
    <x v="17"/>
    <x v="17"/>
    <x v="17"/>
    <x v="12"/>
    <x v="136"/>
    <x v="57"/>
    <x v="48"/>
    <x v="84"/>
    <x v="58"/>
    <x v="290"/>
    <x v="2"/>
  </r>
  <r>
    <x v="0"/>
    <x v="32"/>
    <x v="32"/>
    <x v="7"/>
    <x v="7"/>
    <x v="7"/>
    <x v="13"/>
    <x v="137"/>
    <x v="166"/>
    <x v="60"/>
    <x v="390"/>
    <x v="33"/>
    <x v="291"/>
    <x v="2"/>
  </r>
  <r>
    <x v="0"/>
    <x v="32"/>
    <x v="32"/>
    <x v="9"/>
    <x v="9"/>
    <x v="9"/>
    <x v="14"/>
    <x v="95"/>
    <x v="59"/>
    <x v="53"/>
    <x v="57"/>
    <x v="58"/>
    <x v="290"/>
    <x v="2"/>
  </r>
  <r>
    <x v="0"/>
    <x v="32"/>
    <x v="32"/>
    <x v="15"/>
    <x v="15"/>
    <x v="15"/>
    <x v="14"/>
    <x v="95"/>
    <x v="59"/>
    <x v="59"/>
    <x v="389"/>
    <x v="72"/>
    <x v="267"/>
    <x v="2"/>
  </r>
  <r>
    <x v="0"/>
    <x v="32"/>
    <x v="32"/>
    <x v="10"/>
    <x v="10"/>
    <x v="10"/>
    <x v="16"/>
    <x v="97"/>
    <x v="31"/>
    <x v="53"/>
    <x v="57"/>
    <x v="84"/>
    <x v="208"/>
    <x v="2"/>
  </r>
  <r>
    <x v="0"/>
    <x v="32"/>
    <x v="32"/>
    <x v="14"/>
    <x v="14"/>
    <x v="14"/>
    <x v="16"/>
    <x v="97"/>
    <x v="31"/>
    <x v="87"/>
    <x v="391"/>
    <x v="82"/>
    <x v="292"/>
    <x v="2"/>
  </r>
  <r>
    <x v="0"/>
    <x v="32"/>
    <x v="32"/>
    <x v="26"/>
    <x v="26"/>
    <x v="26"/>
    <x v="18"/>
    <x v="100"/>
    <x v="34"/>
    <x v="52"/>
    <x v="137"/>
    <x v="121"/>
    <x v="293"/>
    <x v="2"/>
  </r>
  <r>
    <x v="0"/>
    <x v="32"/>
    <x v="32"/>
    <x v="19"/>
    <x v="19"/>
    <x v="19"/>
    <x v="19"/>
    <x v="101"/>
    <x v="17"/>
    <x v="52"/>
    <x v="137"/>
    <x v="78"/>
    <x v="103"/>
    <x v="2"/>
  </r>
  <r>
    <x v="0"/>
    <x v="32"/>
    <x v="32"/>
    <x v="39"/>
    <x v="39"/>
    <x v="39"/>
    <x v="19"/>
    <x v="101"/>
    <x v="17"/>
    <x v="72"/>
    <x v="58"/>
    <x v="61"/>
    <x v="201"/>
    <x v="2"/>
  </r>
  <r>
    <x v="0"/>
    <x v="32"/>
    <x v="32"/>
    <x v="59"/>
    <x v="59"/>
    <x v="59"/>
    <x v="19"/>
    <x v="101"/>
    <x v="17"/>
    <x v="53"/>
    <x v="57"/>
    <x v="76"/>
    <x v="140"/>
    <x v="2"/>
  </r>
  <r>
    <x v="0"/>
    <x v="32"/>
    <x v="32"/>
    <x v="18"/>
    <x v="18"/>
    <x v="18"/>
    <x v="19"/>
    <x v="101"/>
    <x v="17"/>
    <x v="52"/>
    <x v="137"/>
    <x v="78"/>
    <x v="103"/>
    <x v="2"/>
  </r>
  <r>
    <x v="0"/>
    <x v="32"/>
    <x v="32"/>
    <x v="32"/>
    <x v="32"/>
    <x v="32"/>
    <x v="19"/>
    <x v="101"/>
    <x v="17"/>
    <x v="27"/>
    <x v="392"/>
    <x v="42"/>
    <x v="289"/>
    <x v="2"/>
  </r>
  <r>
    <x v="0"/>
    <x v="33"/>
    <x v="33"/>
    <x v="0"/>
    <x v="0"/>
    <x v="0"/>
    <x v="0"/>
    <x v="135"/>
    <x v="241"/>
    <x v="110"/>
    <x v="393"/>
    <x v="65"/>
    <x v="248"/>
    <x v="2"/>
  </r>
  <r>
    <x v="0"/>
    <x v="33"/>
    <x v="33"/>
    <x v="1"/>
    <x v="1"/>
    <x v="1"/>
    <x v="1"/>
    <x v="65"/>
    <x v="247"/>
    <x v="62"/>
    <x v="394"/>
    <x v="47"/>
    <x v="294"/>
    <x v="2"/>
  </r>
  <r>
    <x v="0"/>
    <x v="33"/>
    <x v="33"/>
    <x v="2"/>
    <x v="2"/>
    <x v="2"/>
    <x v="2"/>
    <x v="67"/>
    <x v="138"/>
    <x v="54"/>
    <x v="395"/>
    <x v="74"/>
    <x v="5"/>
    <x v="2"/>
  </r>
  <r>
    <x v="0"/>
    <x v="33"/>
    <x v="33"/>
    <x v="60"/>
    <x v="60"/>
    <x v="60"/>
    <x v="3"/>
    <x v="69"/>
    <x v="212"/>
    <x v="53"/>
    <x v="57"/>
    <x v="67"/>
    <x v="295"/>
    <x v="2"/>
  </r>
  <r>
    <x v="0"/>
    <x v="33"/>
    <x v="33"/>
    <x v="4"/>
    <x v="4"/>
    <x v="4"/>
    <x v="4"/>
    <x v="70"/>
    <x v="261"/>
    <x v="63"/>
    <x v="396"/>
    <x v="69"/>
    <x v="287"/>
    <x v="2"/>
  </r>
  <r>
    <x v="0"/>
    <x v="33"/>
    <x v="33"/>
    <x v="9"/>
    <x v="9"/>
    <x v="9"/>
    <x v="5"/>
    <x v="72"/>
    <x v="74"/>
    <x v="48"/>
    <x v="150"/>
    <x v="86"/>
    <x v="296"/>
    <x v="2"/>
  </r>
  <r>
    <x v="0"/>
    <x v="33"/>
    <x v="33"/>
    <x v="10"/>
    <x v="10"/>
    <x v="10"/>
    <x v="6"/>
    <x v="80"/>
    <x v="4"/>
    <x v="52"/>
    <x v="97"/>
    <x v="50"/>
    <x v="297"/>
    <x v="2"/>
  </r>
  <r>
    <x v="0"/>
    <x v="33"/>
    <x v="33"/>
    <x v="8"/>
    <x v="8"/>
    <x v="8"/>
    <x v="6"/>
    <x v="80"/>
    <x v="4"/>
    <x v="30"/>
    <x v="259"/>
    <x v="79"/>
    <x v="298"/>
    <x v="2"/>
  </r>
  <r>
    <x v="0"/>
    <x v="33"/>
    <x v="33"/>
    <x v="3"/>
    <x v="3"/>
    <x v="3"/>
    <x v="8"/>
    <x v="83"/>
    <x v="192"/>
    <x v="29"/>
    <x v="397"/>
    <x v="117"/>
    <x v="161"/>
    <x v="2"/>
  </r>
  <r>
    <x v="0"/>
    <x v="33"/>
    <x v="33"/>
    <x v="12"/>
    <x v="12"/>
    <x v="12"/>
    <x v="9"/>
    <x v="136"/>
    <x v="207"/>
    <x v="87"/>
    <x v="398"/>
    <x v="73"/>
    <x v="195"/>
    <x v="2"/>
  </r>
  <r>
    <x v="0"/>
    <x v="33"/>
    <x v="33"/>
    <x v="16"/>
    <x v="16"/>
    <x v="16"/>
    <x v="10"/>
    <x v="96"/>
    <x v="67"/>
    <x v="30"/>
    <x v="259"/>
    <x v="47"/>
    <x v="294"/>
    <x v="2"/>
  </r>
  <r>
    <x v="0"/>
    <x v="33"/>
    <x v="33"/>
    <x v="28"/>
    <x v="28"/>
    <x v="28"/>
    <x v="11"/>
    <x v="97"/>
    <x v="143"/>
    <x v="52"/>
    <x v="97"/>
    <x v="47"/>
    <x v="294"/>
    <x v="2"/>
  </r>
  <r>
    <x v="0"/>
    <x v="33"/>
    <x v="33"/>
    <x v="13"/>
    <x v="13"/>
    <x v="13"/>
    <x v="11"/>
    <x v="97"/>
    <x v="143"/>
    <x v="98"/>
    <x v="51"/>
    <x v="42"/>
    <x v="126"/>
    <x v="2"/>
  </r>
  <r>
    <x v="0"/>
    <x v="33"/>
    <x v="33"/>
    <x v="11"/>
    <x v="11"/>
    <x v="11"/>
    <x v="13"/>
    <x v="101"/>
    <x v="94"/>
    <x v="42"/>
    <x v="399"/>
    <x v="82"/>
    <x v="48"/>
    <x v="2"/>
  </r>
  <r>
    <x v="0"/>
    <x v="33"/>
    <x v="33"/>
    <x v="5"/>
    <x v="5"/>
    <x v="5"/>
    <x v="13"/>
    <x v="101"/>
    <x v="94"/>
    <x v="44"/>
    <x v="400"/>
    <x v="132"/>
    <x v="188"/>
    <x v="2"/>
  </r>
  <r>
    <x v="0"/>
    <x v="33"/>
    <x v="33"/>
    <x v="17"/>
    <x v="17"/>
    <x v="17"/>
    <x v="15"/>
    <x v="104"/>
    <x v="60"/>
    <x v="48"/>
    <x v="150"/>
    <x v="78"/>
    <x v="299"/>
    <x v="2"/>
  </r>
  <r>
    <x v="0"/>
    <x v="33"/>
    <x v="33"/>
    <x v="7"/>
    <x v="7"/>
    <x v="7"/>
    <x v="15"/>
    <x v="104"/>
    <x v="60"/>
    <x v="80"/>
    <x v="392"/>
    <x v="42"/>
    <x v="126"/>
    <x v="2"/>
  </r>
  <r>
    <x v="0"/>
    <x v="33"/>
    <x v="33"/>
    <x v="22"/>
    <x v="22"/>
    <x v="22"/>
    <x v="17"/>
    <x v="102"/>
    <x v="33"/>
    <x v="30"/>
    <x v="259"/>
    <x v="46"/>
    <x v="119"/>
    <x v="2"/>
  </r>
  <r>
    <x v="0"/>
    <x v="33"/>
    <x v="33"/>
    <x v="53"/>
    <x v="53"/>
    <x v="53"/>
    <x v="18"/>
    <x v="172"/>
    <x v="135"/>
    <x v="53"/>
    <x v="57"/>
    <x v="33"/>
    <x v="251"/>
    <x v="2"/>
  </r>
  <r>
    <x v="0"/>
    <x v="33"/>
    <x v="33"/>
    <x v="18"/>
    <x v="18"/>
    <x v="18"/>
    <x v="18"/>
    <x v="172"/>
    <x v="135"/>
    <x v="48"/>
    <x v="150"/>
    <x v="46"/>
    <x v="119"/>
    <x v="2"/>
  </r>
  <r>
    <x v="0"/>
    <x v="33"/>
    <x v="33"/>
    <x v="6"/>
    <x v="6"/>
    <x v="6"/>
    <x v="18"/>
    <x v="172"/>
    <x v="135"/>
    <x v="27"/>
    <x v="305"/>
    <x v="120"/>
    <x v="156"/>
    <x v="2"/>
  </r>
  <r>
    <x v="0"/>
    <x v="34"/>
    <x v="34"/>
    <x v="0"/>
    <x v="0"/>
    <x v="0"/>
    <x v="0"/>
    <x v="184"/>
    <x v="262"/>
    <x v="57"/>
    <x v="401"/>
    <x v="74"/>
    <x v="248"/>
    <x v="2"/>
  </r>
  <r>
    <x v="0"/>
    <x v="34"/>
    <x v="34"/>
    <x v="13"/>
    <x v="13"/>
    <x v="13"/>
    <x v="1"/>
    <x v="141"/>
    <x v="195"/>
    <x v="58"/>
    <x v="4"/>
    <x v="76"/>
    <x v="110"/>
    <x v="2"/>
  </r>
  <r>
    <x v="0"/>
    <x v="34"/>
    <x v="34"/>
    <x v="2"/>
    <x v="2"/>
    <x v="2"/>
    <x v="2"/>
    <x v="63"/>
    <x v="108"/>
    <x v="46"/>
    <x v="402"/>
    <x v="65"/>
    <x v="191"/>
    <x v="2"/>
  </r>
  <r>
    <x v="0"/>
    <x v="34"/>
    <x v="34"/>
    <x v="8"/>
    <x v="8"/>
    <x v="8"/>
    <x v="3"/>
    <x v="69"/>
    <x v="5"/>
    <x v="33"/>
    <x v="403"/>
    <x v="64"/>
    <x v="300"/>
    <x v="2"/>
  </r>
  <r>
    <x v="0"/>
    <x v="34"/>
    <x v="34"/>
    <x v="1"/>
    <x v="1"/>
    <x v="1"/>
    <x v="3"/>
    <x v="69"/>
    <x v="5"/>
    <x v="61"/>
    <x v="404"/>
    <x v="61"/>
    <x v="301"/>
    <x v="2"/>
  </r>
  <r>
    <x v="0"/>
    <x v="34"/>
    <x v="34"/>
    <x v="3"/>
    <x v="3"/>
    <x v="3"/>
    <x v="5"/>
    <x v="92"/>
    <x v="103"/>
    <x v="61"/>
    <x v="404"/>
    <x v="61"/>
    <x v="301"/>
    <x v="2"/>
  </r>
  <r>
    <x v="0"/>
    <x v="34"/>
    <x v="34"/>
    <x v="12"/>
    <x v="12"/>
    <x v="12"/>
    <x v="6"/>
    <x v="70"/>
    <x v="207"/>
    <x v="42"/>
    <x v="113"/>
    <x v="79"/>
    <x v="302"/>
    <x v="2"/>
  </r>
  <r>
    <x v="0"/>
    <x v="34"/>
    <x v="34"/>
    <x v="4"/>
    <x v="4"/>
    <x v="4"/>
    <x v="6"/>
    <x v="70"/>
    <x v="207"/>
    <x v="15"/>
    <x v="405"/>
    <x v="54"/>
    <x v="303"/>
    <x v="2"/>
  </r>
  <r>
    <x v="0"/>
    <x v="34"/>
    <x v="34"/>
    <x v="9"/>
    <x v="9"/>
    <x v="9"/>
    <x v="8"/>
    <x v="71"/>
    <x v="176"/>
    <x v="33"/>
    <x v="403"/>
    <x v="104"/>
    <x v="304"/>
    <x v="2"/>
  </r>
  <r>
    <x v="0"/>
    <x v="34"/>
    <x v="34"/>
    <x v="11"/>
    <x v="11"/>
    <x v="11"/>
    <x v="9"/>
    <x v="72"/>
    <x v="193"/>
    <x v="98"/>
    <x v="218"/>
    <x v="89"/>
    <x v="305"/>
    <x v="2"/>
  </r>
  <r>
    <x v="0"/>
    <x v="34"/>
    <x v="34"/>
    <x v="26"/>
    <x v="26"/>
    <x v="26"/>
    <x v="10"/>
    <x v="81"/>
    <x v="225"/>
    <x v="60"/>
    <x v="229"/>
    <x v="76"/>
    <x v="110"/>
    <x v="2"/>
  </r>
  <r>
    <x v="0"/>
    <x v="34"/>
    <x v="34"/>
    <x v="19"/>
    <x v="19"/>
    <x v="19"/>
    <x v="11"/>
    <x v="82"/>
    <x v="81"/>
    <x v="80"/>
    <x v="46"/>
    <x v="88"/>
    <x v="306"/>
    <x v="2"/>
  </r>
  <r>
    <x v="0"/>
    <x v="34"/>
    <x v="34"/>
    <x v="10"/>
    <x v="10"/>
    <x v="10"/>
    <x v="12"/>
    <x v="83"/>
    <x v="28"/>
    <x v="42"/>
    <x v="113"/>
    <x v="76"/>
    <x v="110"/>
    <x v="2"/>
  </r>
  <r>
    <x v="0"/>
    <x v="34"/>
    <x v="34"/>
    <x v="6"/>
    <x v="6"/>
    <x v="6"/>
    <x v="12"/>
    <x v="83"/>
    <x v="28"/>
    <x v="75"/>
    <x v="406"/>
    <x v="61"/>
    <x v="301"/>
    <x v="2"/>
  </r>
  <r>
    <x v="0"/>
    <x v="34"/>
    <x v="34"/>
    <x v="55"/>
    <x v="55"/>
    <x v="55"/>
    <x v="14"/>
    <x v="136"/>
    <x v="117"/>
    <x v="52"/>
    <x v="407"/>
    <x v="72"/>
    <x v="204"/>
    <x v="2"/>
  </r>
  <r>
    <x v="0"/>
    <x v="34"/>
    <x v="34"/>
    <x v="17"/>
    <x v="17"/>
    <x v="17"/>
    <x v="15"/>
    <x v="98"/>
    <x v="145"/>
    <x v="52"/>
    <x v="407"/>
    <x v="76"/>
    <x v="110"/>
    <x v="2"/>
  </r>
  <r>
    <x v="0"/>
    <x v="34"/>
    <x v="34"/>
    <x v="27"/>
    <x v="27"/>
    <x v="27"/>
    <x v="15"/>
    <x v="98"/>
    <x v="145"/>
    <x v="30"/>
    <x v="137"/>
    <x v="66"/>
    <x v="16"/>
    <x v="2"/>
  </r>
  <r>
    <x v="0"/>
    <x v="34"/>
    <x v="34"/>
    <x v="7"/>
    <x v="7"/>
    <x v="7"/>
    <x v="17"/>
    <x v="99"/>
    <x v="134"/>
    <x v="70"/>
    <x v="408"/>
    <x v="74"/>
    <x v="248"/>
    <x v="2"/>
  </r>
  <r>
    <x v="0"/>
    <x v="34"/>
    <x v="34"/>
    <x v="5"/>
    <x v="5"/>
    <x v="5"/>
    <x v="18"/>
    <x v="100"/>
    <x v="18"/>
    <x v="44"/>
    <x v="383"/>
    <x v="90"/>
    <x v="307"/>
    <x v="2"/>
  </r>
  <r>
    <x v="0"/>
    <x v="34"/>
    <x v="34"/>
    <x v="16"/>
    <x v="16"/>
    <x v="16"/>
    <x v="19"/>
    <x v="101"/>
    <x v="50"/>
    <x v="52"/>
    <x v="407"/>
    <x v="78"/>
    <x v="146"/>
    <x v="2"/>
  </r>
  <r>
    <x v="0"/>
    <x v="35"/>
    <x v="35"/>
    <x v="0"/>
    <x v="0"/>
    <x v="0"/>
    <x v="0"/>
    <x v="135"/>
    <x v="263"/>
    <x v="130"/>
    <x v="409"/>
    <x v="42"/>
    <x v="74"/>
    <x v="2"/>
  </r>
  <r>
    <x v="0"/>
    <x v="35"/>
    <x v="35"/>
    <x v="1"/>
    <x v="1"/>
    <x v="1"/>
    <x v="1"/>
    <x v="66"/>
    <x v="203"/>
    <x v="79"/>
    <x v="410"/>
    <x v="58"/>
    <x v="308"/>
    <x v="2"/>
  </r>
  <r>
    <x v="0"/>
    <x v="35"/>
    <x v="35"/>
    <x v="13"/>
    <x v="13"/>
    <x v="13"/>
    <x v="2"/>
    <x v="67"/>
    <x v="264"/>
    <x v="75"/>
    <x v="411"/>
    <x v="89"/>
    <x v="309"/>
    <x v="2"/>
  </r>
  <r>
    <x v="0"/>
    <x v="35"/>
    <x v="35"/>
    <x v="6"/>
    <x v="6"/>
    <x v="6"/>
    <x v="3"/>
    <x v="70"/>
    <x v="265"/>
    <x v="75"/>
    <x v="411"/>
    <x v="121"/>
    <x v="251"/>
    <x v="2"/>
  </r>
  <r>
    <x v="0"/>
    <x v="35"/>
    <x v="35"/>
    <x v="10"/>
    <x v="10"/>
    <x v="10"/>
    <x v="4"/>
    <x v="71"/>
    <x v="244"/>
    <x v="30"/>
    <x v="376"/>
    <x v="123"/>
    <x v="310"/>
    <x v="2"/>
  </r>
  <r>
    <x v="0"/>
    <x v="35"/>
    <x v="35"/>
    <x v="11"/>
    <x v="11"/>
    <x v="11"/>
    <x v="5"/>
    <x v="81"/>
    <x v="266"/>
    <x v="70"/>
    <x v="412"/>
    <x v="33"/>
    <x v="50"/>
    <x v="2"/>
  </r>
  <r>
    <x v="0"/>
    <x v="35"/>
    <x v="35"/>
    <x v="2"/>
    <x v="2"/>
    <x v="2"/>
    <x v="6"/>
    <x v="83"/>
    <x v="66"/>
    <x v="62"/>
    <x v="413"/>
    <x v="74"/>
    <x v="182"/>
    <x v="2"/>
  </r>
  <r>
    <x v="0"/>
    <x v="35"/>
    <x v="35"/>
    <x v="12"/>
    <x v="12"/>
    <x v="12"/>
    <x v="7"/>
    <x v="136"/>
    <x v="150"/>
    <x v="98"/>
    <x v="175"/>
    <x v="33"/>
    <x v="50"/>
    <x v="2"/>
  </r>
  <r>
    <x v="0"/>
    <x v="35"/>
    <x v="35"/>
    <x v="18"/>
    <x v="18"/>
    <x v="18"/>
    <x v="7"/>
    <x v="136"/>
    <x v="150"/>
    <x v="27"/>
    <x v="414"/>
    <x v="66"/>
    <x v="91"/>
    <x v="2"/>
  </r>
  <r>
    <x v="0"/>
    <x v="35"/>
    <x v="35"/>
    <x v="3"/>
    <x v="3"/>
    <x v="3"/>
    <x v="7"/>
    <x v="136"/>
    <x v="150"/>
    <x v="75"/>
    <x v="411"/>
    <x v="117"/>
    <x v="259"/>
    <x v="2"/>
  </r>
  <r>
    <x v="0"/>
    <x v="35"/>
    <x v="35"/>
    <x v="5"/>
    <x v="5"/>
    <x v="5"/>
    <x v="7"/>
    <x v="136"/>
    <x v="150"/>
    <x v="62"/>
    <x v="413"/>
    <x v="65"/>
    <x v="311"/>
    <x v="2"/>
  </r>
  <r>
    <x v="0"/>
    <x v="35"/>
    <x v="35"/>
    <x v="17"/>
    <x v="17"/>
    <x v="17"/>
    <x v="11"/>
    <x v="137"/>
    <x v="157"/>
    <x v="72"/>
    <x v="14"/>
    <x v="78"/>
    <x v="68"/>
    <x v="2"/>
  </r>
  <r>
    <x v="0"/>
    <x v="35"/>
    <x v="35"/>
    <x v="8"/>
    <x v="8"/>
    <x v="8"/>
    <x v="12"/>
    <x v="97"/>
    <x v="117"/>
    <x v="31"/>
    <x v="415"/>
    <x v="121"/>
    <x v="251"/>
    <x v="2"/>
  </r>
  <r>
    <x v="0"/>
    <x v="35"/>
    <x v="35"/>
    <x v="7"/>
    <x v="7"/>
    <x v="7"/>
    <x v="12"/>
    <x v="97"/>
    <x v="117"/>
    <x v="80"/>
    <x v="53"/>
    <x v="78"/>
    <x v="68"/>
    <x v="2"/>
  </r>
  <r>
    <x v="0"/>
    <x v="35"/>
    <x v="35"/>
    <x v="26"/>
    <x v="26"/>
    <x v="26"/>
    <x v="14"/>
    <x v="99"/>
    <x v="31"/>
    <x v="31"/>
    <x v="415"/>
    <x v="33"/>
    <x v="50"/>
    <x v="2"/>
  </r>
  <r>
    <x v="0"/>
    <x v="35"/>
    <x v="35"/>
    <x v="40"/>
    <x v="40"/>
    <x v="40"/>
    <x v="14"/>
    <x v="99"/>
    <x v="31"/>
    <x v="30"/>
    <x v="376"/>
    <x v="121"/>
    <x v="251"/>
    <x v="2"/>
  </r>
  <r>
    <x v="0"/>
    <x v="35"/>
    <x v="35"/>
    <x v="27"/>
    <x v="27"/>
    <x v="27"/>
    <x v="16"/>
    <x v="104"/>
    <x v="134"/>
    <x v="33"/>
    <x v="338"/>
    <x v="46"/>
    <x v="219"/>
    <x v="2"/>
  </r>
  <r>
    <x v="0"/>
    <x v="35"/>
    <x v="35"/>
    <x v="39"/>
    <x v="39"/>
    <x v="39"/>
    <x v="16"/>
    <x v="104"/>
    <x v="134"/>
    <x v="79"/>
    <x v="410"/>
    <x v="90"/>
    <x v="117"/>
    <x v="2"/>
  </r>
  <r>
    <x v="0"/>
    <x v="35"/>
    <x v="35"/>
    <x v="57"/>
    <x v="57"/>
    <x v="57"/>
    <x v="16"/>
    <x v="104"/>
    <x v="134"/>
    <x v="59"/>
    <x v="389"/>
    <x v="121"/>
    <x v="251"/>
    <x v="2"/>
  </r>
  <r>
    <x v="0"/>
    <x v="35"/>
    <x v="35"/>
    <x v="31"/>
    <x v="31"/>
    <x v="31"/>
    <x v="16"/>
    <x v="104"/>
    <x v="134"/>
    <x v="59"/>
    <x v="389"/>
    <x v="121"/>
    <x v="251"/>
    <x v="2"/>
  </r>
  <r>
    <x v="0"/>
    <x v="35"/>
    <x v="35"/>
    <x v="4"/>
    <x v="4"/>
    <x v="4"/>
    <x v="16"/>
    <x v="104"/>
    <x v="134"/>
    <x v="50"/>
    <x v="416"/>
    <x v="69"/>
    <x v="43"/>
    <x v="2"/>
  </r>
  <r>
    <x v="0"/>
    <x v="36"/>
    <x v="36"/>
    <x v="10"/>
    <x v="10"/>
    <x v="10"/>
    <x v="0"/>
    <x v="82"/>
    <x v="175"/>
    <x v="33"/>
    <x v="417"/>
    <x v="72"/>
    <x v="312"/>
    <x v="2"/>
  </r>
  <r>
    <x v="0"/>
    <x v="36"/>
    <x v="36"/>
    <x v="55"/>
    <x v="55"/>
    <x v="55"/>
    <x v="1"/>
    <x v="136"/>
    <x v="265"/>
    <x v="33"/>
    <x v="417"/>
    <x v="88"/>
    <x v="313"/>
    <x v="2"/>
  </r>
  <r>
    <x v="0"/>
    <x v="36"/>
    <x v="36"/>
    <x v="0"/>
    <x v="0"/>
    <x v="0"/>
    <x v="1"/>
    <x v="136"/>
    <x v="265"/>
    <x v="62"/>
    <x v="255"/>
    <x v="65"/>
    <x v="44"/>
    <x v="2"/>
  </r>
  <r>
    <x v="0"/>
    <x v="36"/>
    <x v="36"/>
    <x v="6"/>
    <x v="6"/>
    <x v="6"/>
    <x v="1"/>
    <x v="136"/>
    <x v="265"/>
    <x v="70"/>
    <x v="418"/>
    <x v="68"/>
    <x v="34"/>
    <x v="2"/>
  </r>
  <r>
    <x v="0"/>
    <x v="36"/>
    <x v="36"/>
    <x v="13"/>
    <x v="13"/>
    <x v="13"/>
    <x v="1"/>
    <x v="136"/>
    <x v="265"/>
    <x v="60"/>
    <x v="372"/>
    <x v="78"/>
    <x v="314"/>
    <x v="2"/>
  </r>
  <r>
    <x v="0"/>
    <x v="36"/>
    <x v="36"/>
    <x v="2"/>
    <x v="2"/>
    <x v="2"/>
    <x v="5"/>
    <x v="95"/>
    <x v="267"/>
    <x v="81"/>
    <x v="419"/>
    <x v="90"/>
    <x v="31"/>
    <x v="2"/>
  </r>
  <r>
    <x v="0"/>
    <x v="36"/>
    <x v="36"/>
    <x v="9"/>
    <x v="9"/>
    <x v="9"/>
    <x v="6"/>
    <x v="98"/>
    <x v="171"/>
    <x v="48"/>
    <x v="420"/>
    <x v="47"/>
    <x v="315"/>
    <x v="2"/>
  </r>
  <r>
    <x v="0"/>
    <x v="36"/>
    <x v="36"/>
    <x v="7"/>
    <x v="7"/>
    <x v="7"/>
    <x v="6"/>
    <x v="98"/>
    <x v="171"/>
    <x v="33"/>
    <x v="417"/>
    <x v="121"/>
    <x v="208"/>
    <x v="2"/>
  </r>
  <r>
    <x v="0"/>
    <x v="36"/>
    <x v="36"/>
    <x v="11"/>
    <x v="11"/>
    <x v="11"/>
    <x v="8"/>
    <x v="99"/>
    <x v="66"/>
    <x v="72"/>
    <x v="421"/>
    <x v="42"/>
    <x v="186"/>
    <x v="2"/>
  </r>
  <r>
    <x v="0"/>
    <x v="36"/>
    <x v="36"/>
    <x v="17"/>
    <x v="17"/>
    <x v="17"/>
    <x v="9"/>
    <x v="100"/>
    <x v="177"/>
    <x v="52"/>
    <x v="422"/>
    <x v="121"/>
    <x v="208"/>
    <x v="2"/>
  </r>
  <r>
    <x v="0"/>
    <x v="36"/>
    <x v="36"/>
    <x v="3"/>
    <x v="3"/>
    <x v="3"/>
    <x v="9"/>
    <x v="100"/>
    <x v="177"/>
    <x v="87"/>
    <x v="26"/>
    <x v="120"/>
    <x v="259"/>
    <x v="2"/>
  </r>
  <r>
    <x v="0"/>
    <x v="36"/>
    <x v="36"/>
    <x v="5"/>
    <x v="5"/>
    <x v="5"/>
    <x v="9"/>
    <x v="100"/>
    <x v="177"/>
    <x v="79"/>
    <x v="247"/>
    <x v="69"/>
    <x v="4"/>
    <x v="2"/>
  </r>
  <r>
    <x v="0"/>
    <x v="36"/>
    <x v="36"/>
    <x v="16"/>
    <x v="16"/>
    <x v="16"/>
    <x v="12"/>
    <x v="101"/>
    <x v="80"/>
    <x v="53"/>
    <x v="57"/>
    <x v="76"/>
    <x v="316"/>
    <x v="2"/>
  </r>
  <r>
    <x v="0"/>
    <x v="36"/>
    <x v="36"/>
    <x v="12"/>
    <x v="12"/>
    <x v="12"/>
    <x v="13"/>
    <x v="102"/>
    <x v="7"/>
    <x v="30"/>
    <x v="53"/>
    <x v="46"/>
    <x v="281"/>
    <x v="2"/>
  </r>
  <r>
    <x v="0"/>
    <x v="36"/>
    <x v="36"/>
    <x v="4"/>
    <x v="4"/>
    <x v="4"/>
    <x v="13"/>
    <x v="102"/>
    <x v="7"/>
    <x v="79"/>
    <x v="247"/>
    <x v="132"/>
    <x v="188"/>
    <x v="2"/>
  </r>
  <r>
    <x v="0"/>
    <x v="36"/>
    <x v="36"/>
    <x v="1"/>
    <x v="1"/>
    <x v="1"/>
    <x v="15"/>
    <x v="172"/>
    <x v="61"/>
    <x v="53"/>
    <x v="57"/>
    <x v="33"/>
    <x v="15"/>
    <x v="2"/>
  </r>
  <r>
    <x v="0"/>
    <x v="36"/>
    <x v="36"/>
    <x v="19"/>
    <x v="19"/>
    <x v="19"/>
    <x v="16"/>
    <x v="190"/>
    <x v="15"/>
    <x v="59"/>
    <x v="423"/>
    <x v="46"/>
    <x v="281"/>
    <x v="2"/>
  </r>
  <r>
    <x v="0"/>
    <x v="36"/>
    <x v="36"/>
    <x v="8"/>
    <x v="8"/>
    <x v="8"/>
    <x v="17"/>
    <x v="173"/>
    <x v="18"/>
    <x v="48"/>
    <x v="420"/>
    <x v="42"/>
    <x v="186"/>
    <x v="2"/>
  </r>
  <r>
    <x v="0"/>
    <x v="36"/>
    <x v="36"/>
    <x v="49"/>
    <x v="49"/>
    <x v="49"/>
    <x v="18"/>
    <x v="174"/>
    <x v="257"/>
    <x v="33"/>
    <x v="417"/>
    <x v="120"/>
    <x v="259"/>
    <x v="2"/>
  </r>
  <r>
    <x v="0"/>
    <x v="36"/>
    <x v="36"/>
    <x v="14"/>
    <x v="14"/>
    <x v="14"/>
    <x v="18"/>
    <x v="174"/>
    <x v="257"/>
    <x v="52"/>
    <x v="422"/>
    <x v="61"/>
    <x v="23"/>
    <x v="2"/>
  </r>
  <r>
    <x v="0"/>
    <x v="36"/>
    <x v="36"/>
    <x v="18"/>
    <x v="18"/>
    <x v="18"/>
    <x v="18"/>
    <x v="174"/>
    <x v="257"/>
    <x v="48"/>
    <x v="420"/>
    <x v="82"/>
    <x v="92"/>
    <x v="2"/>
  </r>
  <r>
    <x v="0"/>
    <x v="36"/>
    <x v="36"/>
    <x v="29"/>
    <x v="29"/>
    <x v="29"/>
    <x v="18"/>
    <x v="174"/>
    <x v="257"/>
    <x v="48"/>
    <x v="420"/>
    <x v="82"/>
    <x v="92"/>
    <x v="2"/>
  </r>
  <r>
    <x v="0"/>
    <x v="37"/>
    <x v="37"/>
    <x v="0"/>
    <x v="0"/>
    <x v="0"/>
    <x v="0"/>
    <x v="94"/>
    <x v="268"/>
    <x v="133"/>
    <x v="424"/>
    <x v="54"/>
    <x v="203"/>
    <x v="2"/>
  </r>
  <r>
    <x v="0"/>
    <x v="37"/>
    <x v="37"/>
    <x v="1"/>
    <x v="1"/>
    <x v="1"/>
    <x v="1"/>
    <x v="143"/>
    <x v="227"/>
    <x v="64"/>
    <x v="418"/>
    <x v="89"/>
    <x v="82"/>
    <x v="2"/>
  </r>
  <r>
    <x v="0"/>
    <x v="37"/>
    <x v="37"/>
    <x v="2"/>
    <x v="2"/>
    <x v="2"/>
    <x v="2"/>
    <x v="71"/>
    <x v="269"/>
    <x v="73"/>
    <x v="352"/>
    <x v="69"/>
    <x v="44"/>
    <x v="2"/>
  </r>
  <r>
    <x v="0"/>
    <x v="37"/>
    <x v="37"/>
    <x v="3"/>
    <x v="3"/>
    <x v="3"/>
    <x v="3"/>
    <x v="81"/>
    <x v="270"/>
    <x v="62"/>
    <x v="425"/>
    <x v="117"/>
    <x v="47"/>
    <x v="2"/>
  </r>
  <r>
    <x v="0"/>
    <x v="37"/>
    <x v="37"/>
    <x v="4"/>
    <x v="4"/>
    <x v="4"/>
    <x v="4"/>
    <x v="82"/>
    <x v="248"/>
    <x v="26"/>
    <x v="426"/>
    <x v="54"/>
    <x v="203"/>
    <x v="2"/>
  </r>
  <r>
    <x v="0"/>
    <x v="37"/>
    <x v="37"/>
    <x v="12"/>
    <x v="12"/>
    <x v="12"/>
    <x v="5"/>
    <x v="95"/>
    <x v="271"/>
    <x v="72"/>
    <x v="427"/>
    <x v="33"/>
    <x v="294"/>
    <x v="2"/>
  </r>
  <r>
    <x v="0"/>
    <x v="37"/>
    <x v="37"/>
    <x v="11"/>
    <x v="11"/>
    <x v="11"/>
    <x v="6"/>
    <x v="96"/>
    <x v="272"/>
    <x v="33"/>
    <x v="180"/>
    <x v="76"/>
    <x v="317"/>
    <x v="2"/>
  </r>
  <r>
    <x v="0"/>
    <x v="37"/>
    <x v="37"/>
    <x v="5"/>
    <x v="5"/>
    <x v="5"/>
    <x v="6"/>
    <x v="96"/>
    <x v="272"/>
    <x v="44"/>
    <x v="428"/>
    <x v="74"/>
    <x v="61"/>
    <x v="2"/>
  </r>
  <r>
    <x v="0"/>
    <x v="37"/>
    <x v="37"/>
    <x v="10"/>
    <x v="10"/>
    <x v="10"/>
    <x v="8"/>
    <x v="104"/>
    <x v="80"/>
    <x v="52"/>
    <x v="429"/>
    <x v="33"/>
    <x v="294"/>
    <x v="2"/>
  </r>
  <r>
    <x v="0"/>
    <x v="37"/>
    <x v="37"/>
    <x v="9"/>
    <x v="9"/>
    <x v="9"/>
    <x v="8"/>
    <x v="104"/>
    <x v="80"/>
    <x v="52"/>
    <x v="429"/>
    <x v="33"/>
    <x v="294"/>
    <x v="2"/>
  </r>
  <r>
    <x v="0"/>
    <x v="37"/>
    <x v="37"/>
    <x v="13"/>
    <x v="13"/>
    <x v="13"/>
    <x v="8"/>
    <x v="104"/>
    <x v="80"/>
    <x v="87"/>
    <x v="430"/>
    <x v="65"/>
    <x v="207"/>
    <x v="2"/>
  </r>
  <r>
    <x v="0"/>
    <x v="37"/>
    <x v="37"/>
    <x v="17"/>
    <x v="17"/>
    <x v="17"/>
    <x v="11"/>
    <x v="102"/>
    <x v="92"/>
    <x v="59"/>
    <x v="62"/>
    <x v="78"/>
    <x v="318"/>
    <x v="2"/>
  </r>
  <r>
    <x v="0"/>
    <x v="37"/>
    <x v="37"/>
    <x v="8"/>
    <x v="8"/>
    <x v="8"/>
    <x v="11"/>
    <x v="102"/>
    <x v="92"/>
    <x v="48"/>
    <x v="431"/>
    <x v="33"/>
    <x v="294"/>
    <x v="2"/>
  </r>
  <r>
    <x v="0"/>
    <x v="37"/>
    <x v="37"/>
    <x v="16"/>
    <x v="16"/>
    <x v="16"/>
    <x v="11"/>
    <x v="102"/>
    <x v="92"/>
    <x v="30"/>
    <x v="432"/>
    <x v="46"/>
    <x v="208"/>
    <x v="2"/>
  </r>
  <r>
    <x v="0"/>
    <x v="37"/>
    <x v="37"/>
    <x v="56"/>
    <x v="56"/>
    <x v="56"/>
    <x v="14"/>
    <x v="172"/>
    <x v="31"/>
    <x v="80"/>
    <x v="417"/>
    <x v="117"/>
    <x v="47"/>
    <x v="2"/>
  </r>
  <r>
    <x v="0"/>
    <x v="37"/>
    <x v="37"/>
    <x v="25"/>
    <x v="25"/>
    <x v="25"/>
    <x v="15"/>
    <x v="190"/>
    <x v="118"/>
    <x v="53"/>
    <x v="57"/>
    <x v="73"/>
    <x v="319"/>
    <x v="2"/>
  </r>
  <r>
    <x v="0"/>
    <x v="37"/>
    <x v="37"/>
    <x v="6"/>
    <x v="6"/>
    <x v="6"/>
    <x v="15"/>
    <x v="190"/>
    <x v="118"/>
    <x v="60"/>
    <x v="294"/>
    <x v="54"/>
    <x v="203"/>
    <x v="2"/>
  </r>
  <r>
    <x v="0"/>
    <x v="37"/>
    <x v="37"/>
    <x v="20"/>
    <x v="20"/>
    <x v="20"/>
    <x v="15"/>
    <x v="190"/>
    <x v="118"/>
    <x v="60"/>
    <x v="294"/>
    <x v="54"/>
    <x v="203"/>
    <x v="2"/>
  </r>
  <r>
    <x v="0"/>
    <x v="37"/>
    <x v="37"/>
    <x v="19"/>
    <x v="19"/>
    <x v="19"/>
    <x v="18"/>
    <x v="173"/>
    <x v="35"/>
    <x v="59"/>
    <x v="62"/>
    <x v="68"/>
    <x v="206"/>
    <x v="2"/>
  </r>
  <r>
    <x v="0"/>
    <x v="37"/>
    <x v="37"/>
    <x v="7"/>
    <x v="7"/>
    <x v="7"/>
    <x v="19"/>
    <x v="174"/>
    <x v="273"/>
    <x v="33"/>
    <x v="180"/>
    <x v="120"/>
    <x v="229"/>
    <x v="2"/>
  </r>
  <r>
    <x v="0"/>
    <x v="38"/>
    <x v="38"/>
    <x v="46"/>
    <x v="46"/>
    <x v="46"/>
    <x v="0"/>
    <x v="192"/>
    <x v="274"/>
    <x v="67"/>
    <x v="433"/>
    <x v="46"/>
    <x v="152"/>
    <x v="2"/>
  </r>
  <r>
    <x v="0"/>
    <x v="38"/>
    <x v="38"/>
    <x v="11"/>
    <x v="11"/>
    <x v="11"/>
    <x v="1"/>
    <x v="53"/>
    <x v="275"/>
    <x v="85"/>
    <x v="124"/>
    <x v="121"/>
    <x v="320"/>
    <x v="2"/>
  </r>
  <r>
    <x v="0"/>
    <x v="38"/>
    <x v="38"/>
    <x v="0"/>
    <x v="0"/>
    <x v="0"/>
    <x v="2"/>
    <x v="54"/>
    <x v="186"/>
    <x v="51"/>
    <x v="434"/>
    <x v="54"/>
    <x v="191"/>
    <x v="2"/>
  </r>
  <r>
    <x v="0"/>
    <x v="38"/>
    <x v="38"/>
    <x v="2"/>
    <x v="2"/>
    <x v="2"/>
    <x v="3"/>
    <x v="91"/>
    <x v="276"/>
    <x v="110"/>
    <x v="435"/>
    <x v="132"/>
    <x v="188"/>
    <x v="2"/>
  </r>
  <r>
    <x v="0"/>
    <x v="38"/>
    <x v="38"/>
    <x v="3"/>
    <x v="3"/>
    <x v="3"/>
    <x v="4"/>
    <x v="69"/>
    <x v="215"/>
    <x v="116"/>
    <x v="436"/>
    <x v="120"/>
    <x v="321"/>
    <x v="2"/>
  </r>
  <r>
    <x v="0"/>
    <x v="38"/>
    <x v="38"/>
    <x v="14"/>
    <x v="14"/>
    <x v="14"/>
    <x v="5"/>
    <x v="71"/>
    <x v="277"/>
    <x v="86"/>
    <x v="437"/>
    <x v="61"/>
    <x v="195"/>
    <x v="2"/>
  </r>
  <r>
    <x v="0"/>
    <x v="38"/>
    <x v="38"/>
    <x v="1"/>
    <x v="1"/>
    <x v="1"/>
    <x v="6"/>
    <x v="81"/>
    <x v="207"/>
    <x v="44"/>
    <x v="226"/>
    <x v="42"/>
    <x v="26"/>
    <x v="2"/>
  </r>
  <r>
    <x v="0"/>
    <x v="38"/>
    <x v="38"/>
    <x v="39"/>
    <x v="39"/>
    <x v="39"/>
    <x v="7"/>
    <x v="83"/>
    <x v="42"/>
    <x v="62"/>
    <x v="438"/>
    <x v="74"/>
    <x v="23"/>
    <x v="2"/>
  </r>
  <r>
    <x v="0"/>
    <x v="38"/>
    <x v="38"/>
    <x v="10"/>
    <x v="10"/>
    <x v="10"/>
    <x v="8"/>
    <x v="97"/>
    <x v="132"/>
    <x v="33"/>
    <x v="162"/>
    <x v="66"/>
    <x v="322"/>
    <x v="2"/>
  </r>
  <r>
    <x v="0"/>
    <x v="38"/>
    <x v="38"/>
    <x v="13"/>
    <x v="13"/>
    <x v="13"/>
    <x v="8"/>
    <x v="97"/>
    <x v="132"/>
    <x v="78"/>
    <x v="439"/>
    <x v="74"/>
    <x v="23"/>
    <x v="2"/>
  </r>
  <r>
    <x v="0"/>
    <x v="38"/>
    <x v="38"/>
    <x v="40"/>
    <x v="40"/>
    <x v="40"/>
    <x v="10"/>
    <x v="99"/>
    <x v="8"/>
    <x v="52"/>
    <x v="309"/>
    <x v="66"/>
    <x v="322"/>
    <x v="2"/>
  </r>
  <r>
    <x v="0"/>
    <x v="38"/>
    <x v="38"/>
    <x v="42"/>
    <x v="42"/>
    <x v="42"/>
    <x v="10"/>
    <x v="99"/>
    <x v="8"/>
    <x v="44"/>
    <x v="226"/>
    <x v="54"/>
    <x v="191"/>
    <x v="2"/>
  </r>
  <r>
    <x v="0"/>
    <x v="38"/>
    <x v="38"/>
    <x v="47"/>
    <x v="47"/>
    <x v="47"/>
    <x v="10"/>
    <x v="99"/>
    <x v="8"/>
    <x v="78"/>
    <x v="439"/>
    <x v="69"/>
    <x v="55"/>
    <x v="2"/>
  </r>
  <r>
    <x v="0"/>
    <x v="38"/>
    <x v="38"/>
    <x v="9"/>
    <x v="9"/>
    <x v="9"/>
    <x v="13"/>
    <x v="100"/>
    <x v="60"/>
    <x v="72"/>
    <x v="12"/>
    <x v="82"/>
    <x v="116"/>
    <x v="2"/>
  </r>
  <r>
    <x v="0"/>
    <x v="38"/>
    <x v="38"/>
    <x v="37"/>
    <x v="37"/>
    <x v="37"/>
    <x v="13"/>
    <x v="100"/>
    <x v="60"/>
    <x v="80"/>
    <x v="240"/>
    <x v="46"/>
    <x v="152"/>
    <x v="2"/>
  </r>
  <r>
    <x v="0"/>
    <x v="38"/>
    <x v="38"/>
    <x v="4"/>
    <x v="4"/>
    <x v="4"/>
    <x v="13"/>
    <x v="100"/>
    <x v="60"/>
    <x v="75"/>
    <x v="260"/>
    <x v="132"/>
    <x v="188"/>
    <x v="2"/>
  </r>
  <r>
    <x v="0"/>
    <x v="38"/>
    <x v="38"/>
    <x v="7"/>
    <x v="7"/>
    <x v="7"/>
    <x v="16"/>
    <x v="101"/>
    <x v="118"/>
    <x v="50"/>
    <x v="281"/>
    <x v="65"/>
    <x v="323"/>
    <x v="2"/>
  </r>
  <r>
    <x v="0"/>
    <x v="38"/>
    <x v="38"/>
    <x v="17"/>
    <x v="17"/>
    <x v="17"/>
    <x v="17"/>
    <x v="104"/>
    <x v="47"/>
    <x v="30"/>
    <x v="366"/>
    <x v="73"/>
    <x v="268"/>
    <x v="2"/>
  </r>
  <r>
    <x v="0"/>
    <x v="38"/>
    <x v="38"/>
    <x v="61"/>
    <x v="61"/>
    <x v="61"/>
    <x v="17"/>
    <x v="104"/>
    <x v="47"/>
    <x v="70"/>
    <x v="440"/>
    <x v="54"/>
    <x v="191"/>
    <x v="2"/>
  </r>
  <r>
    <x v="0"/>
    <x v="38"/>
    <x v="38"/>
    <x v="51"/>
    <x v="51"/>
    <x v="51"/>
    <x v="19"/>
    <x v="102"/>
    <x v="48"/>
    <x v="98"/>
    <x v="441"/>
    <x v="65"/>
    <x v="323"/>
    <x v="2"/>
  </r>
  <r>
    <x v="0"/>
    <x v="38"/>
    <x v="38"/>
    <x v="52"/>
    <x v="52"/>
    <x v="52"/>
    <x v="19"/>
    <x v="102"/>
    <x v="48"/>
    <x v="70"/>
    <x v="440"/>
    <x v="90"/>
    <x v="303"/>
    <x v="2"/>
  </r>
  <r>
    <x v="0"/>
    <x v="39"/>
    <x v="39"/>
    <x v="0"/>
    <x v="0"/>
    <x v="0"/>
    <x v="0"/>
    <x v="54"/>
    <x v="278"/>
    <x v="158"/>
    <x v="442"/>
    <x v="69"/>
    <x v="66"/>
    <x v="2"/>
  </r>
  <r>
    <x v="0"/>
    <x v="39"/>
    <x v="39"/>
    <x v="2"/>
    <x v="2"/>
    <x v="2"/>
    <x v="1"/>
    <x v="94"/>
    <x v="279"/>
    <x v="148"/>
    <x v="274"/>
    <x v="132"/>
    <x v="188"/>
    <x v="2"/>
  </r>
  <r>
    <x v="0"/>
    <x v="39"/>
    <x v="39"/>
    <x v="10"/>
    <x v="10"/>
    <x v="10"/>
    <x v="2"/>
    <x v="67"/>
    <x v="280"/>
    <x v="31"/>
    <x v="432"/>
    <x v="63"/>
    <x v="324"/>
    <x v="2"/>
  </r>
  <r>
    <x v="0"/>
    <x v="39"/>
    <x v="39"/>
    <x v="11"/>
    <x v="11"/>
    <x v="11"/>
    <x v="3"/>
    <x v="92"/>
    <x v="281"/>
    <x v="44"/>
    <x v="319"/>
    <x v="76"/>
    <x v="325"/>
    <x v="2"/>
  </r>
  <r>
    <x v="0"/>
    <x v="39"/>
    <x v="39"/>
    <x v="49"/>
    <x v="49"/>
    <x v="49"/>
    <x v="4"/>
    <x v="73"/>
    <x v="282"/>
    <x v="138"/>
    <x v="443"/>
    <x v="54"/>
    <x v="311"/>
    <x v="2"/>
  </r>
  <r>
    <x v="0"/>
    <x v="39"/>
    <x v="39"/>
    <x v="13"/>
    <x v="13"/>
    <x v="13"/>
    <x v="5"/>
    <x v="83"/>
    <x v="265"/>
    <x v="62"/>
    <x v="444"/>
    <x v="74"/>
    <x v="37"/>
    <x v="2"/>
  </r>
  <r>
    <x v="0"/>
    <x v="39"/>
    <x v="39"/>
    <x v="43"/>
    <x v="43"/>
    <x v="43"/>
    <x v="6"/>
    <x v="95"/>
    <x v="131"/>
    <x v="81"/>
    <x v="445"/>
    <x v="90"/>
    <x v="170"/>
    <x v="2"/>
  </r>
  <r>
    <x v="0"/>
    <x v="39"/>
    <x v="39"/>
    <x v="3"/>
    <x v="3"/>
    <x v="3"/>
    <x v="7"/>
    <x v="96"/>
    <x v="283"/>
    <x v="75"/>
    <x v="446"/>
    <x v="65"/>
    <x v="177"/>
    <x v="2"/>
  </r>
  <r>
    <x v="0"/>
    <x v="39"/>
    <x v="39"/>
    <x v="12"/>
    <x v="12"/>
    <x v="12"/>
    <x v="8"/>
    <x v="99"/>
    <x v="150"/>
    <x v="42"/>
    <x v="447"/>
    <x v="68"/>
    <x v="326"/>
    <x v="2"/>
  </r>
  <r>
    <x v="0"/>
    <x v="39"/>
    <x v="39"/>
    <x v="4"/>
    <x v="4"/>
    <x v="4"/>
    <x v="8"/>
    <x v="99"/>
    <x v="150"/>
    <x v="29"/>
    <x v="448"/>
    <x v="132"/>
    <x v="188"/>
    <x v="2"/>
  </r>
  <r>
    <x v="0"/>
    <x v="39"/>
    <x v="39"/>
    <x v="8"/>
    <x v="8"/>
    <x v="8"/>
    <x v="10"/>
    <x v="100"/>
    <x v="225"/>
    <x v="42"/>
    <x v="447"/>
    <x v="42"/>
    <x v="319"/>
    <x v="2"/>
  </r>
  <r>
    <x v="0"/>
    <x v="39"/>
    <x v="39"/>
    <x v="14"/>
    <x v="14"/>
    <x v="14"/>
    <x v="10"/>
    <x v="100"/>
    <x v="225"/>
    <x v="70"/>
    <x v="207"/>
    <x v="65"/>
    <x v="177"/>
    <x v="2"/>
  </r>
  <r>
    <x v="0"/>
    <x v="39"/>
    <x v="39"/>
    <x v="9"/>
    <x v="9"/>
    <x v="9"/>
    <x v="12"/>
    <x v="101"/>
    <x v="199"/>
    <x v="42"/>
    <x v="447"/>
    <x v="82"/>
    <x v="14"/>
    <x v="2"/>
  </r>
  <r>
    <x v="0"/>
    <x v="39"/>
    <x v="39"/>
    <x v="42"/>
    <x v="42"/>
    <x v="42"/>
    <x v="12"/>
    <x v="101"/>
    <x v="199"/>
    <x v="50"/>
    <x v="279"/>
    <x v="65"/>
    <x v="177"/>
    <x v="2"/>
  </r>
  <r>
    <x v="0"/>
    <x v="39"/>
    <x v="39"/>
    <x v="22"/>
    <x v="22"/>
    <x v="22"/>
    <x v="14"/>
    <x v="104"/>
    <x v="117"/>
    <x v="30"/>
    <x v="83"/>
    <x v="73"/>
    <x v="327"/>
    <x v="2"/>
  </r>
  <r>
    <x v="0"/>
    <x v="39"/>
    <x v="39"/>
    <x v="26"/>
    <x v="26"/>
    <x v="26"/>
    <x v="15"/>
    <x v="103"/>
    <x v="60"/>
    <x v="31"/>
    <x v="432"/>
    <x v="82"/>
    <x v="14"/>
    <x v="2"/>
  </r>
  <r>
    <x v="0"/>
    <x v="39"/>
    <x v="39"/>
    <x v="40"/>
    <x v="40"/>
    <x v="40"/>
    <x v="15"/>
    <x v="103"/>
    <x v="60"/>
    <x v="42"/>
    <x v="447"/>
    <x v="120"/>
    <x v="35"/>
    <x v="2"/>
  </r>
  <r>
    <x v="0"/>
    <x v="39"/>
    <x v="39"/>
    <x v="1"/>
    <x v="1"/>
    <x v="1"/>
    <x v="15"/>
    <x v="103"/>
    <x v="60"/>
    <x v="31"/>
    <x v="432"/>
    <x v="61"/>
    <x v="169"/>
    <x v="2"/>
  </r>
  <r>
    <x v="0"/>
    <x v="39"/>
    <x v="39"/>
    <x v="5"/>
    <x v="5"/>
    <x v="5"/>
    <x v="15"/>
    <x v="103"/>
    <x v="60"/>
    <x v="50"/>
    <x v="279"/>
    <x v="90"/>
    <x v="170"/>
    <x v="2"/>
  </r>
  <r>
    <x v="0"/>
    <x v="39"/>
    <x v="39"/>
    <x v="7"/>
    <x v="7"/>
    <x v="7"/>
    <x v="19"/>
    <x v="172"/>
    <x v="119"/>
    <x v="27"/>
    <x v="113"/>
    <x v="120"/>
    <x v="35"/>
    <x v="2"/>
  </r>
  <r>
    <x v="0"/>
    <x v="40"/>
    <x v="40"/>
    <x v="0"/>
    <x v="0"/>
    <x v="0"/>
    <x v="0"/>
    <x v="75"/>
    <x v="284"/>
    <x v="159"/>
    <x v="199"/>
    <x v="61"/>
    <x v="323"/>
    <x v="2"/>
  </r>
  <r>
    <x v="0"/>
    <x v="40"/>
    <x v="40"/>
    <x v="2"/>
    <x v="2"/>
    <x v="2"/>
    <x v="1"/>
    <x v="188"/>
    <x v="285"/>
    <x v="160"/>
    <x v="449"/>
    <x v="74"/>
    <x v="248"/>
    <x v="2"/>
  </r>
  <r>
    <x v="0"/>
    <x v="40"/>
    <x v="40"/>
    <x v="11"/>
    <x v="11"/>
    <x v="11"/>
    <x v="2"/>
    <x v="87"/>
    <x v="99"/>
    <x v="74"/>
    <x v="412"/>
    <x v="104"/>
    <x v="84"/>
    <x v="2"/>
  </r>
  <r>
    <x v="0"/>
    <x v="40"/>
    <x v="40"/>
    <x v="8"/>
    <x v="8"/>
    <x v="8"/>
    <x v="3"/>
    <x v="134"/>
    <x v="140"/>
    <x v="86"/>
    <x v="439"/>
    <x v="87"/>
    <x v="328"/>
    <x v="2"/>
  </r>
  <r>
    <x v="0"/>
    <x v="40"/>
    <x v="40"/>
    <x v="1"/>
    <x v="1"/>
    <x v="1"/>
    <x v="3"/>
    <x v="134"/>
    <x v="140"/>
    <x v="63"/>
    <x v="450"/>
    <x v="50"/>
    <x v="73"/>
    <x v="2"/>
  </r>
  <r>
    <x v="0"/>
    <x v="40"/>
    <x v="40"/>
    <x v="13"/>
    <x v="13"/>
    <x v="13"/>
    <x v="5"/>
    <x v="57"/>
    <x v="286"/>
    <x v="125"/>
    <x v="334"/>
    <x v="120"/>
    <x v="55"/>
    <x v="2"/>
  </r>
  <r>
    <x v="0"/>
    <x v="40"/>
    <x v="40"/>
    <x v="4"/>
    <x v="4"/>
    <x v="4"/>
    <x v="6"/>
    <x v="135"/>
    <x v="271"/>
    <x v="84"/>
    <x v="451"/>
    <x v="132"/>
    <x v="188"/>
    <x v="2"/>
  </r>
  <r>
    <x v="0"/>
    <x v="40"/>
    <x v="40"/>
    <x v="3"/>
    <x v="3"/>
    <x v="3"/>
    <x v="7"/>
    <x v="90"/>
    <x v="267"/>
    <x v="152"/>
    <x v="452"/>
    <x v="82"/>
    <x v="77"/>
    <x v="2"/>
  </r>
  <r>
    <x v="0"/>
    <x v="40"/>
    <x v="40"/>
    <x v="10"/>
    <x v="10"/>
    <x v="10"/>
    <x v="8"/>
    <x v="94"/>
    <x v="283"/>
    <x v="72"/>
    <x v="131"/>
    <x v="83"/>
    <x v="329"/>
    <x v="2"/>
  </r>
  <r>
    <x v="0"/>
    <x v="40"/>
    <x v="40"/>
    <x v="14"/>
    <x v="14"/>
    <x v="14"/>
    <x v="9"/>
    <x v="77"/>
    <x v="41"/>
    <x v="35"/>
    <x v="453"/>
    <x v="82"/>
    <x v="77"/>
    <x v="2"/>
  </r>
  <r>
    <x v="0"/>
    <x v="40"/>
    <x v="40"/>
    <x v="12"/>
    <x v="12"/>
    <x v="12"/>
    <x v="10"/>
    <x v="78"/>
    <x v="6"/>
    <x v="62"/>
    <x v="218"/>
    <x v="88"/>
    <x v="25"/>
    <x v="2"/>
  </r>
  <r>
    <x v="0"/>
    <x v="40"/>
    <x v="40"/>
    <x v="44"/>
    <x v="44"/>
    <x v="44"/>
    <x v="11"/>
    <x v="143"/>
    <x v="256"/>
    <x v="44"/>
    <x v="454"/>
    <x v="72"/>
    <x v="330"/>
    <x v="2"/>
  </r>
  <r>
    <x v="0"/>
    <x v="40"/>
    <x v="40"/>
    <x v="7"/>
    <x v="7"/>
    <x v="7"/>
    <x v="11"/>
    <x v="143"/>
    <x v="256"/>
    <x v="86"/>
    <x v="439"/>
    <x v="121"/>
    <x v="195"/>
    <x v="2"/>
  </r>
  <r>
    <x v="0"/>
    <x v="40"/>
    <x v="40"/>
    <x v="22"/>
    <x v="22"/>
    <x v="22"/>
    <x v="13"/>
    <x v="70"/>
    <x v="59"/>
    <x v="29"/>
    <x v="203"/>
    <x v="78"/>
    <x v="78"/>
    <x v="2"/>
  </r>
  <r>
    <x v="0"/>
    <x v="40"/>
    <x v="40"/>
    <x v="5"/>
    <x v="5"/>
    <x v="5"/>
    <x v="14"/>
    <x v="79"/>
    <x v="144"/>
    <x v="116"/>
    <x v="427"/>
    <x v="69"/>
    <x v="72"/>
    <x v="2"/>
  </r>
  <r>
    <x v="0"/>
    <x v="40"/>
    <x v="40"/>
    <x v="49"/>
    <x v="49"/>
    <x v="49"/>
    <x v="15"/>
    <x v="80"/>
    <x v="95"/>
    <x v="81"/>
    <x v="455"/>
    <x v="117"/>
    <x v="331"/>
    <x v="2"/>
  </r>
  <r>
    <x v="0"/>
    <x v="40"/>
    <x v="40"/>
    <x v="40"/>
    <x v="40"/>
    <x v="40"/>
    <x v="15"/>
    <x v="80"/>
    <x v="95"/>
    <x v="50"/>
    <x v="456"/>
    <x v="121"/>
    <x v="195"/>
    <x v="2"/>
  </r>
  <r>
    <x v="0"/>
    <x v="40"/>
    <x v="40"/>
    <x v="17"/>
    <x v="17"/>
    <x v="17"/>
    <x v="17"/>
    <x v="81"/>
    <x v="46"/>
    <x v="72"/>
    <x v="131"/>
    <x v="47"/>
    <x v="30"/>
    <x v="2"/>
  </r>
  <r>
    <x v="0"/>
    <x v="40"/>
    <x v="40"/>
    <x v="51"/>
    <x v="51"/>
    <x v="51"/>
    <x v="18"/>
    <x v="83"/>
    <x v="70"/>
    <x v="49"/>
    <x v="457"/>
    <x v="69"/>
    <x v="72"/>
    <x v="2"/>
  </r>
  <r>
    <x v="0"/>
    <x v="40"/>
    <x v="40"/>
    <x v="42"/>
    <x v="42"/>
    <x v="42"/>
    <x v="18"/>
    <x v="83"/>
    <x v="70"/>
    <x v="49"/>
    <x v="457"/>
    <x v="69"/>
    <x v="72"/>
    <x v="2"/>
  </r>
  <r>
    <x v="0"/>
    <x v="41"/>
    <x v="41"/>
    <x v="2"/>
    <x v="2"/>
    <x v="2"/>
    <x v="0"/>
    <x v="77"/>
    <x v="64"/>
    <x v="152"/>
    <x v="458"/>
    <x v="54"/>
    <x v="203"/>
    <x v="2"/>
  </r>
  <r>
    <x v="0"/>
    <x v="41"/>
    <x v="41"/>
    <x v="0"/>
    <x v="0"/>
    <x v="0"/>
    <x v="1"/>
    <x v="66"/>
    <x v="106"/>
    <x v="74"/>
    <x v="459"/>
    <x v="69"/>
    <x v="44"/>
    <x v="2"/>
  </r>
  <r>
    <x v="0"/>
    <x v="41"/>
    <x v="41"/>
    <x v="10"/>
    <x v="10"/>
    <x v="10"/>
    <x v="2"/>
    <x v="68"/>
    <x v="287"/>
    <x v="52"/>
    <x v="18"/>
    <x v="77"/>
    <x v="332"/>
    <x v="2"/>
  </r>
  <r>
    <x v="0"/>
    <x v="41"/>
    <x v="41"/>
    <x v="3"/>
    <x v="3"/>
    <x v="3"/>
    <x v="3"/>
    <x v="72"/>
    <x v="270"/>
    <x v="69"/>
    <x v="157"/>
    <x v="74"/>
    <x v="61"/>
    <x v="2"/>
  </r>
  <r>
    <x v="0"/>
    <x v="41"/>
    <x v="41"/>
    <x v="13"/>
    <x v="13"/>
    <x v="13"/>
    <x v="3"/>
    <x v="72"/>
    <x v="270"/>
    <x v="86"/>
    <x v="42"/>
    <x v="117"/>
    <x v="209"/>
    <x v="2"/>
  </r>
  <r>
    <x v="0"/>
    <x v="41"/>
    <x v="41"/>
    <x v="11"/>
    <x v="11"/>
    <x v="11"/>
    <x v="5"/>
    <x v="136"/>
    <x v="40"/>
    <x v="79"/>
    <x v="194"/>
    <x v="42"/>
    <x v="264"/>
    <x v="2"/>
  </r>
  <r>
    <x v="0"/>
    <x v="41"/>
    <x v="41"/>
    <x v="4"/>
    <x v="4"/>
    <x v="4"/>
    <x v="6"/>
    <x v="137"/>
    <x v="267"/>
    <x v="86"/>
    <x v="42"/>
    <x v="132"/>
    <x v="188"/>
    <x v="2"/>
  </r>
  <r>
    <x v="0"/>
    <x v="41"/>
    <x v="41"/>
    <x v="8"/>
    <x v="8"/>
    <x v="8"/>
    <x v="7"/>
    <x v="97"/>
    <x v="142"/>
    <x v="72"/>
    <x v="439"/>
    <x v="46"/>
    <x v="262"/>
    <x v="2"/>
  </r>
  <r>
    <x v="0"/>
    <x v="41"/>
    <x v="41"/>
    <x v="17"/>
    <x v="17"/>
    <x v="17"/>
    <x v="8"/>
    <x v="98"/>
    <x v="193"/>
    <x v="30"/>
    <x v="131"/>
    <x v="66"/>
    <x v="333"/>
    <x v="2"/>
  </r>
  <r>
    <x v="0"/>
    <x v="41"/>
    <x v="41"/>
    <x v="1"/>
    <x v="1"/>
    <x v="1"/>
    <x v="9"/>
    <x v="99"/>
    <x v="43"/>
    <x v="60"/>
    <x v="408"/>
    <x v="82"/>
    <x v="50"/>
    <x v="2"/>
  </r>
  <r>
    <x v="0"/>
    <x v="41"/>
    <x v="41"/>
    <x v="12"/>
    <x v="12"/>
    <x v="12"/>
    <x v="10"/>
    <x v="100"/>
    <x v="205"/>
    <x v="87"/>
    <x v="438"/>
    <x v="120"/>
    <x v="229"/>
    <x v="2"/>
  </r>
  <r>
    <x v="0"/>
    <x v="41"/>
    <x v="41"/>
    <x v="5"/>
    <x v="5"/>
    <x v="5"/>
    <x v="11"/>
    <x v="102"/>
    <x v="94"/>
    <x v="50"/>
    <x v="460"/>
    <x v="54"/>
    <x v="203"/>
    <x v="2"/>
  </r>
  <r>
    <x v="0"/>
    <x v="41"/>
    <x v="41"/>
    <x v="14"/>
    <x v="14"/>
    <x v="14"/>
    <x v="12"/>
    <x v="103"/>
    <x v="158"/>
    <x v="60"/>
    <x v="408"/>
    <x v="65"/>
    <x v="207"/>
    <x v="2"/>
  </r>
  <r>
    <x v="0"/>
    <x v="41"/>
    <x v="41"/>
    <x v="40"/>
    <x v="40"/>
    <x v="40"/>
    <x v="12"/>
    <x v="103"/>
    <x v="158"/>
    <x v="30"/>
    <x v="131"/>
    <x v="68"/>
    <x v="299"/>
    <x v="2"/>
  </r>
  <r>
    <x v="0"/>
    <x v="41"/>
    <x v="41"/>
    <x v="9"/>
    <x v="9"/>
    <x v="9"/>
    <x v="14"/>
    <x v="172"/>
    <x v="119"/>
    <x v="52"/>
    <x v="18"/>
    <x v="68"/>
    <x v="299"/>
    <x v="2"/>
  </r>
  <r>
    <x v="0"/>
    <x v="41"/>
    <x v="41"/>
    <x v="7"/>
    <x v="7"/>
    <x v="7"/>
    <x v="15"/>
    <x v="190"/>
    <x v="70"/>
    <x v="30"/>
    <x v="131"/>
    <x v="82"/>
    <x v="50"/>
    <x v="2"/>
  </r>
  <r>
    <x v="0"/>
    <x v="41"/>
    <x v="41"/>
    <x v="20"/>
    <x v="20"/>
    <x v="20"/>
    <x v="15"/>
    <x v="190"/>
    <x v="70"/>
    <x v="60"/>
    <x v="408"/>
    <x v="54"/>
    <x v="203"/>
    <x v="2"/>
  </r>
  <r>
    <x v="0"/>
    <x v="41"/>
    <x v="41"/>
    <x v="55"/>
    <x v="55"/>
    <x v="55"/>
    <x v="17"/>
    <x v="173"/>
    <x v="97"/>
    <x v="52"/>
    <x v="18"/>
    <x v="82"/>
    <x v="50"/>
    <x v="2"/>
  </r>
  <r>
    <x v="0"/>
    <x v="41"/>
    <x v="41"/>
    <x v="22"/>
    <x v="22"/>
    <x v="22"/>
    <x v="17"/>
    <x v="173"/>
    <x v="97"/>
    <x v="33"/>
    <x v="68"/>
    <x v="117"/>
    <x v="209"/>
    <x v="2"/>
  </r>
  <r>
    <x v="0"/>
    <x v="41"/>
    <x v="41"/>
    <x v="19"/>
    <x v="19"/>
    <x v="19"/>
    <x v="19"/>
    <x v="175"/>
    <x v="288"/>
    <x v="31"/>
    <x v="348"/>
    <x v="65"/>
    <x v="207"/>
    <x v="2"/>
  </r>
  <r>
    <x v="0"/>
    <x v="41"/>
    <x v="41"/>
    <x v="49"/>
    <x v="49"/>
    <x v="49"/>
    <x v="19"/>
    <x v="175"/>
    <x v="288"/>
    <x v="31"/>
    <x v="348"/>
    <x v="65"/>
    <x v="207"/>
    <x v="2"/>
  </r>
  <r>
    <x v="0"/>
    <x v="41"/>
    <x v="41"/>
    <x v="28"/>
    <x v="28"/>
    <x v="28"/>
    <x v="19"/>
    <x v="175"/>
    <x v="288"/>
    <x v="52"/>
    <x v="18"/>
    <x v="117"/>
    <x v="209"/>
    <x v="2"/>
  </r>
  <r>
    <x v="0"/>
    <x v="41"/>
    <x v="41"/>
    <x v="27"/>
    <x v="27"/>
    <x v="27"/>
    <x v="19"/>
    <x v="175"/>
    <x v="288"/>
    <x v="59"/>
    <x v="225"/>
    <x v="82"/>
    <x v="50"/>
    <x v="2"/>
  </r>
  <r>
    <x v="0"/>
    <x v="41"/>
    <x v="41"/>
    <x v="30"/>
    <x v="30"/>
    <x v="30"/>
    <x v="19"/>
    <x v="175"/>
    <x v="288"/>
    <x v="80"/>
    <x v="461"/>
    <x v="69"/>
    <x v="44"/>
    <x v="2"/>
  </r>
  <r>
    <x v="0"/>
    <x v="41"/>
    <x v="41"/>
    <x v="18"/>
    <x v="18"/>
    <x v="18"/>
    <x v="19"/>
    <x v="175"/>
    <x v="288"/>
    <x v="48"/>
    <x v="209"/>
    <x v="117"/>
    <x v="209"/>
    <x v="0"/>
  </r>
  <r>
    <x v="0"/>
    <x v="41"/>
    <x v="41"/>
    <x v="21"/>
    <x v="21"/>
    <x v="21"/>
    <x v="19"/>
    <x v="175"/>
    <x v="288"/>
    <x v="27"/>
    <x v="349"/>
    <x v="54"/>
    <x v="203"/>
    <x v="2"/>
  </r>
  <r>
    <x v="0"/>
    <x v="42"/>
    <x v="42"/>
    <x v="0"/>
    <x v="0"/>
    <x v="0"/>
    <x v="0"/>
    <x v="141"/>
    <x v="289"/>
    <x v="111"/>
    <x v="462"/>
    <x v="54"/>
    <x v="115"/>
    <x v="2"/>
  </r>
  <r>
    <x v="0"/>
    <x v="42"/>
    <x v="42"/>
    <x v="2"/>
    <x v="2"/>
    <x v="2"/>
    <x v="1"/>
    <x v="143"/>
    <x v="1"/>
    <x v="141"/>
    <x v="463"/>
    <x v="54"/>
    <x v="115"/>
    <x v="2"/>
  </r>
  <r>
    <x v="0"/>
    <x v="42"/>
    <x v="42"/>
    <x v="1"/>
    <x v="1"/>
    <x v="1"/>
    <x v="2"/>
    <x v="80"/>
    <x v="290"/>
    <x v="86"/>
    <x v="464"/>
    <x v="74"/>
    <x v="95"/>
    <x v="2"/>
  </r>
  <r>
    <x v="0"/>
    <x v="42"/>
    <x v="42"/>
    <x v="11"/>
    <x v="11"/>
    <x v="11"/>
    <x v="3"/>
    <x v="136"/>
    <x v="291"/>
    <x v="87"/>
    <x v="132"/>
    <x v="73"/>
    <x v="288"/>
    <x v="2"/>
  </r>
  <r>
    <x v="0"/>
    <x v="42"/>
    <x v="42"/>
    <x v="3"/>
    <x v="3"/>
    <x v="3"/>
    <x v="4"/>
    <x v="137"/>
    <x v="292"/>
    <x v="62"/>
    <x v="465"/>
    <x v="69"/>
    <x v="334"/>
    <x v="2"/>
  </r>
  <r>
    <x v="0"/>
    <x v="42"/>
    <x v="42"/>
    <x v="10"/>
    <x v="10"/>
    <x v="10"/>
    <x v="5"/>
    <x v="96"/>
    <x v="110"/>
    <x v="30"/>
    <x v="97"/>
    <x v="47"/>
    <x v="335"/>
    <x v="2"/>
  </r>
  <r>
    <x v="0"/>
    <x v="42"/>
    <x v="42"/>
    <x v="8"/>
    <x v="8"/>
    <x v="8"/>
    <x v="5"/>
    <x v="96"/>
    <x v="110"/>
    <x v="98"/>
    <x v="399"/>
    <x v="68"/>
    <x v="178"/>
    <x v="2"/>
  </r>
  <r>
    <x v="0"/>
    <x v="42"/>
    <x v="42"/>
    <x v="9"/>
    <x v="9"/>
    <x v="9"/>
    <x v="5"/>
    <x v="96"/>
    <x v="110"/>
    <x v="72"/>
    <x v="466"/>
    <x v="73"/>
    <x v="288"/>
    <x v="2"/>
  </r>
  <r>
    <x v="0"/>
    <x v="42"/>
    <x v="42"/>
    <x v="7"/>
    <x v="7"/>
    <x v="7"/>
    <x v="8"/>
    <x v="97"/>
    <x v="54"/>
    <x v="79"/>
    <x v="145"/>
    <x v="120"/>
    <x v="96"/>
    <x v="2"/>
  </r>
  <r>
    <x v="0"/>
    <x v="42"/>
    <x v="42"/>
    <x v="52"/>
    <x v="52"/>
    <x v="52"/>
    <x v="9"/>
    <x v="99"/>
    <x v="245"/>
    <x v="44"/>
    <x v="467"/>
    <x v="54"/>
    <x v="115"/>
    <x v="2"/>
  </r>
  <r>
    <x v="0"/>
    <x v="42"/>
    <x v="42"/>
    <x v="14"/>
    <x v="14"/>
    <x v="14"/>
    <x v="10"/>
    <x v="100"/>
    <x v="91"/>
    <x v="50"/>
    <x v="252"/>
    <x v="74"/>
    <x v="95"/>
    <x v="2"/>
  </r>
  <r>
    <x v="0"/>
    <x v="42"/>
    <x v="42"/>
    <x v="22"/>
    <x v="22"/>
    <x v="22"/>
    <x v="10"/>
    <x v="100"/>
    <x v="91"/>
    <x v="31"/>
    <x v="187"/>
    <x v="73"/>
    <x v="288"/>
    <x v="2"/>
  </r>
  <r>
    <x v="0"/>
    <x v="42"/>
    <x v="42"/>
    <x v="4"/>
    <x v="4"/>
    <x v="4"/>
    <x v="10"/>
    <x v="100"/>
    <x v="91"/>
    <x v="44"/>
    <x v="467"/>
    <x v="90"/>
    <x v="101"/>
    <x v="2"/>
  </r>
  <r>
    <x v="0"/>
    <x v="42"/>
    <x v="42"/>
    <x v="5"/>
    <x v="5"/>
    <x v="5"/>
    <x v="13"/>
    <x v="101"/>
    <x v="57"/>
    <x v="78"/>
    <x v="468"/>
    <x v="90"/>
    <x v="101"/>
    <x v="2"/>
  </r>
  <r>
    <x v="0"/>
    <x v="42"/>
    <x v="42"/>
    <x v="13"/>
    <x v="13"/>
    <x v="13"/>
    <x v="14"/>
    <x v="103"/>
    <x v="45"/>
    <x v="60"/>
    <x v="176"/>
    <x v="65"/>
    <x v="61"/>
    <x v="2"/>
  </r>
  <r>
    <x v="0"/>
    <x v="42"/>
    <x v="42"/>
    <x v="48"/>
    <x v="48"/>
    <x v="48"/>
    <x v="15"/>
    <x v="172"/>
    <x v="62"/>
    <x v="72"/>
    <x v="466"/>
    <x v="65"/>
    <x v="61"/>
    <x v="2"/>
  </r>
  <r>
    <x v="0"/>
    <x v="42"/>
    <x v="42"/>
    <x v="39"/>
    <x v="39"/>
    <x v="39"/>
    <x v="15"/>
    <x v="172"/>
    <x v="62"/>
    <x v="87"/>
    <x v="132"/>
    <x v="90"/>
    <x v="101"/>
    <x v="2"/>
  </r>
  <r>
    <x v="0"/>
    <x v="42"/>
    <x v="42"/>
    <x v="17"/>
    <x v="17"/>
    <x v="17"/>
    <x v="17"/>
    <x v="190"/>
    <x v="134"/>
    <x v="48"/>
    <x v="17"/>
    <x v="68"/>
    <x v="178"/>
    <x v="2"/>
  </r>
  <r>
    <x v="0"/>
    <x v="42"/>
    <x v="42"/>
    <x v="40"/>
    <x v="40"/>
    <x v="40"/>
    <x v="17"/>
    <x v="190"/>
    <x v="134"/>
    <x v="52"/>
    <x v="231"/>
    <x v="42"/>
    <x v="267"/>
    <x v="2"/>
  </r>
  <r>
    <x v="0"/>
    <x v="42"/>
    <x v="42"/>
    <x v="54"/>
    <x v="54"/>
    <x v="54"/>
    <x v="17"/>
    <x v="190"/>
    <x v="134"/>
    <x v="72"/>
    <x v="466"/>
    <x v="69"/>
    <x v="334"/>
    <x v="2"/>
  </r>
  <r>
    <x v="0"/>
    <x v="43"/>
    <x v="43"/>
    <x v="0"/>
    <x v="0"/>
    <x v="0"/>
    <x v="0"/>
    <x v="94"/>
    <x v="293"/>
    <x v="152"/>
    <x v="469"/>
    <x v="74"/>
    <x v="12"/>
    <x v="2"/>
  </r>
  <r>
    <x v="0"/>
    <x v="43"/>
    <x v="43"/>
    <x v="1"/>
    <x v="1"/>
    <x v="1"/>
    <x v="1"/>
    <x v="65"/>
    <x v="113"/>
    <x v="138"/>
    <x v="470"/>
    <x v="73"/>
    <x v="315"/>
    <x v="2"/>
  </r>
  <r>
    <x v="0"/>
    <x v="43"/>
    <x v="43"/>
    <x v="4"/>
    <x v="4"/>
    <x v="4"/>
    <x v="2"/>
    <x v="71"/>
    <x v="202"/>
    <x v="63"/>
    <x v="106"/>
    <x v="90"/>
    <x v="285"/>
    <x v="2"/>
  </r>
  <r>
    <x v="0"/>
    <x v="43"/>
    <x v="43"/>
    <x v="2"/>
    <x v="2"/>
    <x v="2"/>
    <x v="3"/>
    <x v="83"/>
    <x v="156"/>
    <x v="26"/>
    <x v="332"/>
    <x v="90"/>
    <x v="285"/>
    <x v="2"/>
  </r>
  <r>
    <x v="0"/>
    <x v="43"/>
    <x v="43"/>
    <x v="10"/>
    <x v="10"/>
    <x v="10"/>
    <x v="4"/>
    <x v="137"/>
    <x v="216"/>
    <x v="48"/>
    <x v="251"/>
    <x v="72"/>
    <x v="123"/>
    <x v="2"/>
  </r>
  <r>
    <x v="0"/>
    <x v="43"/>
    <x v="43"/>
    <x v="50"/>
    <x v="50"/>
    <x v="50"/>
    <x v="4"/>
    <x v="137"/>
    <x v="216"/>
    <x v="75"/>
    <x v="471"/>
    <x v="120"/>
    <x v="194"/>
    <x v="2"/>
  </r>
  <r>
    <x v="0"/>
    <x v="43"/>
    <x v="43"/>
    <x v="5"/>
    <x v="5"/>
    <x v="5"/>
    <x v="4"/>
    <x v="137"/>
    <x v="216"/>
    <x v="81"/>
    <x v="325"/>
    <x v="54"/>
    <x v="287"/>
    <x v="2"/>
  </r>
  <r>
    <x v="0"/>
    <x v="43"/>
    <x v="43"/>
    <x v="3"/>
    <x v="3"/>
    <x v="3"/>
    <x v="7"/>
    <x v="95"/>
    <x v="4"/>
    <x v="78"/>
    <x v="472"/>
    <x v="117"/>
    <x v="202"/>
    <x v="2"/>
  </r>
  <r>
    <x v="0"/>
    <x v="43"/>
    <x v="43"/>
    <x v="9"/>
    <x v="9"/>
    <x v="9"/>
    <x v="8"/>
    <x v="99"/>
    <x v="23"/>
    <x v="33"/>
    <x v="177"/>
    <x v="78"/>
    <x v="336"/>
    <x v="2"/>
  </r>
  <r>
    <x v="0"/>
    <x v="43"/>
    <x v="43"/>
    <x v="12"/>
    <x v="12"/>
    <x v="12"/>
    <x v="8"/>
    <x v="99"/>
    <x v="23"/>
    <x v="42"/>
    <x v="99"/>
    <x v="68"/>
    <x v="262"/>
    <x v="2"/>
  </r>
  <r>
    <x v="0"/>
    <x v="43"/>
    <x v="43"/>
    <x v="6"/>
    <x v="6"/>
    <x v="6"/>
    <x v="10"/>
    <x v="104"/>
    <x v="183"/>
    <x v="98"/>
    <x v="294"/>
    <x v="74"/>
    <x v="12"/>
    <x v="2"/>
  </r>
  <r>
    <x v="0"/>
    <x v="43"/>
    <x v="43"/>
    <x v="13"/>
    <x v="13"/>
    <x v="13"/>
    <x v="11"/>
    <x v="102"/>
    <x v="28"/>
    <x v="80"/>
    <x v="326"/>
    <x v="82"/>
    <x v="167"/>
    <x v="2"/>
  </r>
  <r>
    <x v="0"/>
    <x v="43"/>
    <x v="43"/>
    <x v="17"/>
    <x v="17"/>
    <x v="17"/>
    <x v="12"/>
    <x v="103"/>
    <x v="29"/>
    <x v="48"/>
    <x v="251"/>
    <x v="73"/>
    <x v="315"/>
    <x v="2"/>
  </r>
  <r>
    <x v="0"/>
    <x v="43"/>
    <x v="43"/>
    <x v="8"/>
    <x v="8"/>
    <x v="8"/>
    <x v="12"/>
    <x v="103"/>
    <x v="29"/>
    <x v="48"/>
    <x v="251"/>
    <x v="73"/>
    <x v="315"/>
    <x v="2"/>
  </r>
  <r>
    <x v="0"/>
    <x v="43"/>
    <x v="43"/>
    <x v="11"/>
    <x v="11"/>
    <x v="11"/>
    <x v="14"/>
    <x v="172"/>
    <x v="10"/>
    <x v="27"/>
    <x v="165"/>
    <x v="120"/>
    <x v="194"/>
    <x v="2"/>
  </r>
  <r>
    <x v="0"/>
    <x v="43"/>
    <x v="43"/>
    <x v="22"/>
    <x v="22"/>
    <x v="22"/>
    <x v="15"/>
    <x v="190"/>
    <x v="95"/>
    <x v="59"/>
    <x v="111"/>
    <x v="46"/>
    <x v="215"/>
    <x v="2"/>
  </r>
  <r>
    <x v="0"/>
    <x v="43"/>
    <x v="43"/>
    <x v="14"/>
    <x v="14"/>
    <x v="14"/>
    <x v="16"/>
    <x v="173"/>
    <x v="35"/>
    <x v="42"/>
    <x v="99"/>
    <x v="69"/>
    <x v="337"/>
    <x v="2"/>
  </r>
  <r>
    <x v="0"/>
    <x v="43"/>
    <x v="43"/>
    <x v="62"/>
    <x v="62"/>
    <x v="62"/>
    <x v="16"/>
    <x v="173"/>
    <x v="35"/>
    <x v="59"/>
    <x v="111"/>
    <x v="68"/>
    <x v="262"/>
    <x v="2"/>
  </r>
  <r>
    <x v="0"/>
    <x v="43"/>
    <x v="43"/>
    <x v="25"/>
    <x v="25"/>
    <x v="25"/>
    <x v="16"/>
    <x v="173"/>
    <x v="35"/>
    <x v="53"/>
    <x v="57"/>
    <x v="46"/>
    <x v="215"/>
    <x v="2"/>
  </r>
  <r>
    <x v="0"/>
    <x v="43"/>
    <x v="43"/>
    <x v="31"/>
    <x v="31"/>
    <x v="31"/>
    <x v="19"/>
    <x v="174"/>
    <x v="49"/>
    <x v="48"/>
    <x v="251"/>
    <x v="82"/>
    <x v="167"/>
    <x v="2"/>
  </r>
  <r>
    <x v="0"/>
    <x v="43"/>
    <x v="43"/>
    <x v="24"/>
    <x v="24"/>
    <x v="24"/>
    <x v="19"/>
    <x v="174"/>
    <x v="49"/>
    <x v="80"/>
    <x v="326"/>
    <x v="65"/>
    <x v="156"/>
    <x v="2"/>
  </r>
  <r>
    <x v="0"/>
    <x v="43"/>
    <x v="43"/>
    <x v="32"/>
    <x v="32"/>
    <x v="32"/>
    <x v="19"/>
    <x v="174"/>
    <x v="49"/>
    <x v="48"/>
    <x v="251"/>
    <x v="82"/>
    <x v="167"/>
    <x v="2"/>
  </r>
  <r>
    <x v="0"/>
    <x v="44"/>
    <x v="44"/>
    <x v="2"/>
    <x v="2"/>
    <x v="2"/>
    <x v="0"/>
    <x v="99"/>
    <x v="294"/>
    <x v="44"/>
    <x v="473"/>
    <x v="54"/>
    <x v="198"/>
    <x v="2"/>
  </r>
  <r>
    <x v="0"/>
    <x v="44"/>
    <x v="44"/>
    <x v="1"/>
    <x v="1"/>
    <x v="1"/>
    <x v="1"/>
    <x v="101"/>
    <x v="285"/>
    <x v="72"/>
    <x v="474"/>
    <x v="61"/>
    <x v="338"/>
    <x v="2"/>
  </r>
  <r>
    <x v="0"/>
    <x v="44"/>
    <x v="44"/>
    <x v="30"/>
    <x v="30"/>
    <x v="30"/>
    <x v="2"/>
    <x v="103"/>
    <x v="295"/>
    <x v="48"/>
    <x v="475"/>
    <x v="73"/>
    <x v="339"/>
    <x v="2"/>
  </r>
  <r>
    <x v="0"/>
    <x v="44"/>
    <x v="44"/>
    <x v="3"/>
    <x v="3"/>
    <x v="3"/>
    <x v="2"/>
    <x v="103"/>
    <x v="295"/>
    <x v="98"/>
    <x v="388"/>
    <x v="69"/>
    <x v="200"/>
    <x v="2"/>
  </r>
  <r>
    <x v="0"/>
    <x v="44"/>
    <x v="44"/>
    <x v="0"/>
    <x v="0"/>
    <x v="0"/>
    <x v="2"/>
    <x v="103"/>
    <x v="295"/>
    <x v="70"/>
    <x v="476"/>
    <x v="132"/>
    <x v="188"/>
    <x v="2"/>
  </r>
  <r>
    <x v="0"/>
    <x v="44"/>
    <x v="44"/>
    <x v="12"/>
    <x v="12"/>
    <x v="12"/>
    <x v="5"/>
    <x v="190"/>
    <x v="223"/>
    <x v="52"/>
    <x v="229"/>
    <x v="42"/>
    <x v="340"/>
    <x v="2"/>
  </r>
  <r>
    <x v="0"/>
    <x v="44"/>
    <x v="44"/>
    <x v="35"/>
    <x v="35"/>
    <x v="35"/>
    <x v="6"/>
    <x v="173"/>
    <x v="296"/>
    <x v="59"/>
    <x v="477"/>
    <x v="68"/>
    <x v="341"/>
    <x v="2"/>
  </r>
  <r>
    <x v="0"/>
    <x v="44"/>
    <x v="44"/>
    <x v="63"/>
    <x v="63"/>
    <x v="63"/>
    <x v="7"/>
    <x v="174"/>
    <x v="297"/>
    <x v="59"/>
    <x v="477"/>
    <x v="42"/>
    <x v="340"/>
    <x v="2"/>
  </r>
  <r>
    <x v="0"/>
    <x v="44"/>
    <x v="44"/>
    <x v="50"/>
    <x v="50"/>
    <x v="50"/>
    <x v="7"/>
    <x v="174"/>
    <x v="297"/>
    <x v="72"/>
    <x v="474"/>
    <x v="90"/>
    <x v="253"/>
    <x v="2"/>
  </r>
  <r>
    <x v="0"/>
    <x v="44"/>
    <x v="44"/>
    <x v="54"/>
    <x v="54"/>
    <x v="54"/>
    <x v="9"/>
    <x v="175"/>
    <x v="22"/>
    <x v="52"/>
    <x v="229"/>
    <x v="117"/>
    <x v="275"/>
    <x v="2"/>
  </r>
  <r>
    <x v="0"/>
    <x v="44"/>
    <x v="44"/>
    <x v="4"/>
    <x v="4"/>
    <x v="4"/>
    <x v="10"/>
    <x v="176"/>
    <x v="217"/>
    <x v="42"/>
    <x v="478"/>
    <x v="132"/>
    <x v="188"/>
    <x v="2"/>
  </r>
  <r>
    <x v="0"/>
    <x v="44"/>
    <x v="44"/>
    <x v="5"/>
    <x v="5"/>
    <x v="5"/>
    <x v="10"/>
    <x v="176"/>
    <x v="217"/>
    <x v="42"/>
    <x v="478"/>
    <x v="132"/>
    <x v="188"/>
    <x v="2"/>
  </r>
  <r>
    <x v="0"/>
    <x v="44"/>
    <x v="44"/>
    <x v="7"/>
    <x v="7"/>
    <x v="7"/>
    <x v="12"/>
    <x v="193"/>
    <x v="183"/>
    <x v="30"/>
    <x v="390"/>
    <x v="65"/>
    <x v="272"/>
    <x v="2"/>
  </r>
  <r>
    <x v="0"/>
    <x v="44"/>
    <x v="44"/>
    <x v="6"/>
    <x v="6"/>
    <x v="6"/>
    <x v="13"/>
    <x v="194"/>
    <x v="30"/>
    <x v="80"/>
    <x v="479"/>
    <x v="132"/>
    <x v="188"/>
    <x v="2"/>
  </r>
  <r>
    <x v="0"/>
    <x v="44"/>
    <x v="44"/>
    <x v="11"/>
    <x v="11"/>
    <x v="11"/>
    <x v="14"/>
    <x v="195"/>
    <x v="62"/>
    <x v="53"/>
    <x v="57"/>
    <x v="120"/>
    <x v="120"/>
    <x v="2"/>
  </r>
  <r>
    <x v="0"/>
    <x v="44"/>
    <x v="44"/>
    <x v="22"/>
    <x v="22"/>
    <x v="22"/>
    <x v="14"/>
    <x v="195"/>
    <x v="62"/>
    <x v="52"/>
    <x v="229"/>
    <x v="69"/>
    <x v="200"/>
    <x v="2"/>
  </r>
  <r>
    <x v="0"/>
    <x v="44"/>
    <x v="44"/>
    <x v="58"/>
    <x v="58"/>
    <x v="58"/>
    <x v="16"/>
    <x v="196"/>
    <x v="298"/>
    <x v="53"/>
    <x v="57"/>
    <x v="74"/>
    <x v="342"/>
    <x v="2"/>
  </r>
  <r>
    <x v="0"/>
    <x v="44"/>
    <x v="44"/>
    <x v="56"/>
    <x v="56"/>
    <x v="56"/>
    <x v="16"/>
    <x v="196"/>
    <x v="298"/>
    <x v="48"/>
    <x v="475"/>
    <x v="69"/>
    <x v="200"/>
    <x v="2"/>
  </r>
  <r>
    <x v="0"/>
    <x v="44"/>
    <x v="44"/>
    <x v="64"/>
    <x v="64"/>
    <x v="64"/>
    <x v="16"/>
    <x v="196"/>
    <x v="298"/>
    <x v="53"/>
    <x v="57"/>
    <x v="74"/>
    <x v="342"/>
    <x v="2"/>
  </r>
  <r>
    <x v="0"/>
    <x v="44"/>
    <x v="44"/>
    <x v="65"/>
    <x v="65"/>
    <x v="65"/>
    <x v="16"/>
    <x v="196"/>
    <x v="298"/>
    <x v="53"/>
    <x v="57"/>
    <x v="74"/>
    <x v="342"/>
    <x v="2"/>
  </r>
  <r>
    <x v="0"/>
    <x v="44"/>
    <x v="44"/>
    <x v="25"/>
    <x v="25"/>
    <x v="25"/>
    <x v="16"/>
    <x v="196"/>
    <x v="298"/>
    <x v="59"/>
    <x v="477"/>
    <x v="65"/>
    <x v="272"/>
    <x v="2"/>
  </r>
  <r>
    <x v="0"/>
    <x v="44"/>
    <x v="44"/>
    <x v="42"/>
    <x v="42"/>
    <x v="42"/>
    <x v="16"/>
    <x v="196"/>
    <x v="298"/>
    <x v="30"/>
    <x v="390"/>
    <x v="90"/>
    <x v="253"/>
    <x v="2"/>
  </r>
  <r>
    <x v="0"/>
    <x v="44"/>
    <x v="44"/>
    <x v="21"/>
    <x v="21"/>
    <x v="21"/>
    <x v="16"/>
    <x v="196"/>
    <x v="298"/>
    <x v="48"/>
    <x v="475"/>
    <x v="69"/>
    <x v="200"/>
    <x v="2"/>
  </r>
  <r>
    <x v="0"/>
    <x v="44"/>
    <x v="44"/>
    <x v="29"/>
    <x v="29"/>
    <x v="29"/>
    <x v="16"/>
    <x v="196"/>
    <x v="298"/>
    <x v="33"/>
    <x v="51"/>
    <x v="132"/>
    <x v="188"/>
    <x v="2"/>
  </r>
  <r>
    <x v="0"/>
    <x v="44"/>
    <x v="44"/>
    <x v="33"/>
    <x v="33"/>
    <x v="33"/>
    <x v="16"/>
    <x v="196"/>
    <x v="298"/>
    <x v="53"/>
    <x v="57"/>
    <x v="74"/>
    <x v="342"/>
    <x v="2"/>
  </r>
  <r>
    <x v="0"/>
    <x v="44"/>
    <x v="44"/>
    <x v="13"/>
    <x v="13"/>
    <x v="13"/>
    <x v="16"/>
    <x v="196"/>
    <x v="298"/>
    <x v="52"/>
    <x v="229"/>
    <x v="54"/>
    <x v="198"/>
    <x v="2"/>
  </r>
  <r>
    <x v="0"/>
    <x v="45"/>
    <x v="45"/>
    <x v="2"/>
    <x v="2"/>
    <x v="2"/>
    <x v="0"/>
    <x v="102"/>
    <x v="299"/>
    <x v="87"/>
    <x v="480"/>
    <x v="69"/>
    <x v="256"/>
    <x v="2"/>
  </r>
  <r>
    <x v="0"/>
    <x v="45"/>
    <x v="45"/>
    <x v="0"/>
    <x v="0"/>
    <x v="0"/>
    <x v="0"/>
    <x v="102"/>
    <x v="299"/>
    <x v="50"/>
    <x v="481"/>
    <x v="54"/>
    <x v="194"/>
    <x v="2"/>
  </r>
  <r>
    <x v="0"/>
    <x v="45"/>
    <x v="45"/>
    <x v="5"/>
    <x v="5"/>
    <x v="5"/>
    <x v="2"/>
    <x v="174"/>
    <x v="300"/>
    <x v="72"/>
    <x v="185"/>
    <x v="90"/>
    <x v="337"/>
    <x v="2"/>
  </r>
  <r>
    <x v="0"/>
    <x v="45"/>
    <x v="45"/>
    <x v="13"/>
    <x v="13"/>
    <x v="13"/>
    <x v="2"/>
    <x v="174"/>
    <x v="300"/>
    <x v="31"/>
    <x v="189"/>
    <x v="74"/>
    <x v="343"/>
    <x v="2"/>
  </r>
  <r>
    <x v="0"/>
    <x v="45"/>
    <x v="45"/>
    <x v="17"/>
    <x v="17"/>
    <x v="17"/>
    <x v="4"/>
    <x v="193"/>
    <x v="89"/>
    <x v="53"/>
    <x v="57"/>
    <x v="61"/>
    <x v="344"/>
    <x v="2"/>
  </r>
  <r>
    <x v="0"/>
    <x v="45"/>
    <x v="45"/>
    <x v="11"/>
    <x v="11"/>
    <x v="11"/>
    <x v="5"/>
    <x v="194"/>
    <x v="301"/>
    <x v="33"/>
    <x v="361"/>
    <x v="54"/>
    <x v="194"/>
    <x v="2"/>
  </r>
  <r>
    <x v="0"/>
    <x v="45"/>
    <x v="45"/>
    <x v="39"/>
    <x v="39"/>
    <x v="39"/>
    <x v="5"/>
    <x v="194"/>
    <x v="301"/>
    <x v="33"/>
    <x v="361"/>
    <x v="54"/>
    <x v="194"/>
    <x v="2"/>
  </r>
  <r>
    <x v="0"/>
    <x v="45"/>
    <x v="45"/>
    <x v="4"/>
    <x v="4"/>
    <x v="4"/>
    <x v="5"/>
    <x v="194"/>
    <x v="301"/>
    <x v="80"/>
    <x v="482"/>
    <x v="132"/>
    <x v="188"/>
    <x v="2"/>
  </r>
  <r>
    <x v="0"/>
    <x v="45"/>
    <x v="45"/>
    <x v="10"/>
    <x v="10"/>
    <x v="10"/>
    <x v="8"/>
    <x v="195"/>
    <x v="67"/>
    <x v="53"/>
    <x v="57"/>
    <x v="120"/>
    <x v="345"/>
    <x v="2"/>
  </r>
  <r>
    <x v="0"/>
    <x v="45"/>
    <x v="45"/>
    <x v="8"/>
    <x v="8"/>
    <x v="8"/>
    <x v="8"/>
    <x v="195"/>
    <x v="67"/>
    <x v="59"/>
    <x v="28"/>
    <x v="74"/>
    <x v="343"/>
    <x v="2"/>
  </r>
  <r>
    <x v="0"/>
    <x v="45"/>
    <x v="45"/>
    <x v="18"/>
    <x v="18"/>
    <x v="18"/>
    <x v="8"/>
    <x v="195"/>
    <x v="67"/>
    <x v="52"/>
    <x v="483"/>
    <x v="54"/>
    <x v="194"/>
    <x v="2"/>
  </r>
  <r>
    <x v="0"/>
    <x v="45"/>
    <x v="45"/>
    <x v="26"/>
    <x v="26"/>
    <x v="26"/>
    <x v="11"/>
    <x v="196"/>
    <x v="184"/>
    <x v="52"/>
    <x v="483"/>
    <x v="54"/>
    <x v="194"/>
    <x v="2"/>
  </r>
  <r>
    <x v="0"/>
    <x v="45"/>
    <x v="45"/>
    <x v="9"/>
    <x v="9"/>
    <x v="9"/>
    <x v="11"/>
    <x v="196"/>
    <x v="184"/>
    <x v="52"/>
    <x v="483"/>
    <x v="54"/>
    <x v="194"/>
    <x v="2"/>
  </r>
  <r>
    <x v="0"/>
    <x v="45"/>
    <x v="45"/>
    <x v="59"/>
    <x v="59"/>
    <x v="59"/>
    <x v="11"/>
    <x v="196"/>
    <x v="184"/>
    <x v="59"/>
    <x v="28"/>
    <x v="65"/>
    <x v="346"/>
    <x v="2"/>
  </r>
  <r>
    <x v="0"/>
    <x v="45"/>
    <x v="45"/>
    <x v="1"/>
    <x v="1"/>
    <x v="1"/>
    <x v="11"/>
    <x v="196"/>
    <x v="184"/>
    <x v="59"/>
    <x v="28"/>
    <x v="65"/>
    <x v="346"/>
    <x v="2"/>
  </r>
  <r>
    <x v="0"/>
    <x v="45"/>
    <x v="45"/>
    <x v="31"/>
    <x v="31"/>
    <x v="31"/>
    <x v="11"/>
    <x v="196"/>
    <x v="184"/>
    <x v="53"/>
    <x v="57"/>
    <x v="74"/>
    <x v="343"/>
    <x v="2"/>
  </r>
  <r>
    <x v="0"/>
    <x v="45"/>
    <x v="45"/>
    <x v="37"/>
    <x v="37"/>
    <x v="37"/>
    <x v="16"/>
    <x v="197"/>
    <x v="15"/>
    <x v="53"/>
    <x v="57"/>
    <x v="65"/>
    <x v="346"/>
    <x v="2"/>
  </r>
  <r>
    <x v="0"/>
    <x v="45"/>
    <x v="45"/>
    <x v="14"/>
    <x v="14"/>
    <x v="14"/>
    <x v="16"/>
    <x v="197"/>
    <x v="15"/>
    <x v="30"/>
    <x v="192"/>
    <x v="132"/>
    <x v="188"/>
    <x v="2"/>
  </r>
  <r>
    <x v="0"/>
    <x v="45"/>
    <x v="45"/>
    <x v="66"/>
    <x v="66"/>
    <x v="66"/>
    <x v="16"/>
    <x v="197"/>
    <x v="15"/>
    <x v="53"/>
    <x v="57"/>
    <x v="65"/>
    <x v="346"/>
    <x v="2"/>
  </r>
  <r>
    <x v="0"/>
    <x v="45"/>
    <x v="45"/>
    <x v="7"/>
    <x v="7"/>
    <x v="7"/>
    <x v="16"/>
    <x v="197"/>
    <x v="15"/>
    <x v="52"/>
    <x v="483"/>
    <x v="90"/>
    <x v="337"/>
    <x v="2"/>
  </r>
  <r>
    <x v="0"/>
    <x v="45"/>
    <x v="45"/>
    <x v="67"/>
    <x v="67"/>
    <x v="67"/>
    <x v="16"/>
    <x v="197"/>
    <x v="15"/>
    <x v="53"/>
    <x v="57"/>
    <x v="65"/>
    <x v="346"/>
    <x v="2"/>
  </r>
  <r>
    <x v="0"/>
    <x v="45"/>
    <x v="45"/>
    <x v="3"/>
    <x v="3"/>
    <x v="3"/>
    <x v="16"/>
    <x v="197"/>
    <x v="15"/>
    <x v="30"/>
    <x v="192"/>
    <x v="132"/>
    <x v="188"/>
    <x v="2"/>
  </r>
  <r>
    <x v="0"/>
    <x v="45"/>
    <x v="45"/>
    <x v="32"/>
    <x v="32"/>
    <x v="32"/>
    <x v="16"/>
    <x v="197"/>
    <x v="15"/>
    <x v="52"/>
    <x v="483"/>
    <x v="90"/>
    <x v="337"/>
    <x v="2"/>
  </r>
  <r>
    <x v="0"/>
    <x v="45"/>
    <x v="45"/>
    <x v="6"/>
    <x v="6"/>
    <x v="6"/>
    <x v="16"/>
    <x v="197"/>
    <x v="15"/>
    <x v="30"/>
    <x v="192"/>
    <x v="132"/>
    <x v="188"/>
    <x v="2"/>
  </r>
  <r>
    <x v="0"/>
    <x v="46"/>
    <x v="46"/>
    <x v="11"/>
    <x v="11"/>
    <x v="11"/>
    <x v="0"/>
    <x v="195"/>
    <x v="302"/>
    <x v="33"/>
    <x v="313"/>
    <x v="90"/>
    <x v="270"/>
    <x v="2"/>
  </r>
  <r>
    <x v="0"/>
    <x v="46"/>
    <x v="46"/>
    <x v="2"/>
    <x v="2"/>
    <x v="2"/>
    <x v="0"/>
    <x v="195"/>
    <x v="302"/>
    <x v="31"/>
    <x v="484"/>
    <x v="132"/>
    <x v="188"/>
    <x v="2"/>
  </r>
  <r>
    <x v="0"/>
    <x v="46"/>
    <x v="46"/>
    <x v="0"/>
    <x v="0"/>
    <x v="0"/>
    <x v="2"/>
    <x v="196"/>
    <x v="303"/>
    <x v="33"/>
    <x v="313"/>
    <x v="132"/>
    <x v="188"/>
    <x v="2"/>
  </r>
  <r>
    <x v="0"/>
    <x v="46"/>
    <x v="46"/>
    <x v="6"/>
    <x v="6"/>
    <x v="6"/>
    <x v="2"/>
    <x v="196"/>
    <x v="303"/>
    <x v="33"/>
    <x v="313"/>
    <x v="132"/>
    <x v="188"/>
    <x v="2"/>
  </r>
  <r>
    <x v="0"/>
    <x v="46"/>
    <x v="46"/>
    <x v="13"/>
    <x v="13"/>
    <x v="13"/>
    <x v="2"/>
    <x v="196"/>
    <x v="303"/>
    <x v="33"/>
    <x v="313"/>
    <x v="132"/>
    <x v="188"/>
    <x v="2"/>
  </r>
  <r>
    <x v="0"/>
    <x v="46"/>
    <x v="46"/>
    <x v="10"/>
    <x v="10"/>
    <x v="10"/>
    <x v="5"/>
    <x v="197"/>
    <x v="290"/>
    <x v="53"/>
    <x v="57"/>
    <x v="65"/>
    <x v="347"/>
    <x v="2"/>
  </r>
  <r>
    <x v="0"/>
    <x v="46"/>
    <x v="46"/>
    <x v="14"/>
    <x v="14"/>
    <x v="14"/>
    <x v="5"/>
    <x v="197"/>
    <x v="290"/>
    <x v="30"/>
    <x v="212"/>
    <x v="132"/>
    <x v="188"/>
    <x v="2"/>
  </r>
  <r>
    <x v="0"/>
    <x v="46"/>
    <x v="46"/>
    <x v="3"/>
    <x v="3"/>
    <x v="3"/>
    <x v="5"/>
    <x v="197"/>
    <x v="290"/>
    <x v="30"/>
    <x v="212"/>
    <x v="132"/>
    <x v="188"/>
    <x v="2"/>
  </r>
  <r>
    <x v="0"/>
    <x v="46"/>
    <x v="46"/>
    <x v="55"/>
    <x v="55"/>
    <x v="55"/>
    <x v="8"/>
    <x v="198"/>
    <x v="77"/>
    <x v="59"/>
    <x v="370"/>
    <x v="54"/>
    <x v="348"/>
    <x v="2"/>
  </r>
  <r>
    <x v="0"/>
    <x v="46"/>
    <x v="46"/>
    <x v="51"/>
    <x v="51"/>
    <x v="51"/>
    <x v="8"/>
    <x v="198"/>
    <x v="77"/>
    <x v="48"/>
    <x v="337"/>
    <x v="90"/>
    <x v="270"/>
    <x v="2"/>
  </r>
  <r>
    <x v="0"/>
    <x v="46"/>
    <x v="46"/>
    <x v="39"/>
    <x v="39"/>
    <x v="39"/>
    <x v="8"/>
    <x v="198"/>
    <x v="77"/>
    <x v="52"/>
    <x v="485"/>
    <x v="132"/>
    <x v="188"/>
    <x v="2"/>
  </r>
  <r>
    <x v="0"/>
    <x v="46"/>
    <x v="46"/>
    <x v="7"/>
    <x v="7"/>
    <x v="7"/>
    <x v="8"/>
    <x v="198"/>
    <x v="77"/>
    <x v="52"/>
    <x v="485"/>
    <x v="132"/>
    <x v="188"/>
    <x v="2"/>
  </r>
  <r>
    <x v="0"/>
    <x v="46"/>
    <x v="46"/>
    <x v="21"/>
    <x v="21"/>
    <x v="21"/>
    <x v="8"/>
    <x v="198"/>
    <x v="77"/>
    <x v="52"/>
    <x v="485"/>
    <x v="132"/>
    <x v="188"/>
    <x v="2"/>
  </r>
  <r>
    <x v="0"/>
    <x v="46"/>
    <x v="46"/>
    <x v="5"/>
    <x v="5"/>
    <x v="5"/>
    <x v="8"/>
    <x v="198"/>
    <x v="77"/>
    <x v="48"/>
    <x v="337"/>
    <x v="90"/>
    <x v="270"/>
    <x v="2"/>
  </r>
  <r>
    <x v="0"/>
    <x v="46"/>
    <x v="46"/>
    <x v="17"/>
    <x v="17"/>
    <x v="17"/>
    <x v="14"/>
    <x v="199"/>
    <x v="45"/>
    <x v="59"/>
    <x v="370"/>
    <x v="90"/>
    <x v="270"/>
    <x v="2"/>
  </r>
  <r>
    <x v="0"/>
    <x v="46"/>
    <x v="46"/>
    <x v="26"/>
    <x v="26"/>
    <x v="26"/>
    <x v="14"/>
    <x v="199"/>
    <x v="45"/>
    <x v="48"/>
    <x v="337"/>
    <x v="132"/>
    <x v="188"/>
    <x v="2"/>
  </r>
  <r>
    <x v="0"/>
    <x v="46"/>
    <x v="46"/>
    <x v="8"/>
    <x v="8"/>
    <x v="8"/>
    <x v="14"/>
    <x v="199"/>
    <x v="45"/>
    <x v="59"/>
    <x v="370"/>
    <x v="90"/>
    <x v="270"/>
    <x v="2"/>
  </r>
  <r>
    <x v="0"/>
    <x v="46"/>
    <x v="46"/>
    <x v="68"/>
    <x v="68"/>
    <x v="68"/>
    <x v="14"/>
    <x v="199"/>
    <x v="45"/>
    <x v="59"/>
    <x v="370"/>
    <x v="90"/>
    <x v="270"/>
    <x v="2"/>
  </r>
  <r>
    <x v="0"/>
    <x v="46"/>
    <x v="46"/>
    <x v="69"/>
    <x v="69"/>
    <x v="69"/>
    <x v="14"/>
    <x v="199"/>
    <x v="45"/>
    <x v="59"/>
    <x v="370"/>
    <x v="90"/>
    <x v="270"/>
    <x v="2"/>
  </r>
  <r>
    <x v="0"/>
    <x v="46"/>
    <x v="46"/>
    <x v="70"/>
    <x v="70"/>
    <x v="70"/>
    <x v="14"/>
    <x v="199"/>
    <x v="45"/>
    <x v="59"/>
    <x v="370"/>
    <x v="90"/>
    <x v="270"/>
    <x v="2"/>
  </r>
  <r>
    <x v="0"/>
    <x v="46"/>
    <x v="46"/>
    <x v="71"/>
    <x v="71"/>
    <x v="71"/>
    <x v="14"/>
    <x v="199"/>
    <x v="45"/>
    <x v="48"/>
    <x v="337"/>
    <x v="132"/>
    <x v="188"/>
    <x v="2"/>
  </r>
  <r>
    <x v="0"/>
    <x v="46"/>
    <x v="46"/>
    <x v="40"/>
    <x v="40"/>
    <x v="40"/>
    <x v="14"/>
    <x v="199"/>
    <x v="45"/>
    <x v="59"/>
    <x v="370"/>
    <x v="90"/>
    <x v="270"/>
    <x v="2"/>
  </r>
  <r>
    <x v="0"/>
    <x v="46"/>
    <x v="46"/>
    <x v="1"/>
    <x v="1"/>
    <x v="1"/>
    <x v="14"/>
    <x v="199"/>
    <x v="45"/>
    <x v="53"/>
    <x v="57"/>
    <x v="54"/>
    <x v="348"/>
    <x v="2"/>
  </r>
  <r>
    <x v="0"/>
    <x v="46"/>
    <x v="46"/>
    <x v="4"/>
    <x v="4"/>
    <x v="4"/>
    <x v="14"/>
    <x v="199"/>
    <x v="45"/>
    <x v="48"/>
    <x v="337"/>
    <x v="132"/>
    <x v="188"/>
    <x v="2"/>
  </r>
  <r>
    <x v="0"/>
    <x v="46"/>
    <x v="46"/>
    <x v="72"/>
    <x v="72"/>
    <x v="72"/>
    <x v="14"/>
    <x v="199"/>
    <x v="45"/>
    <x v="48"/>
    <x v="337"/>
    <x v="132"/>
    <x v="188"/>
    <x v="2"/>
  </r>
  <r>
    <x v="0"/>
    <x v="46"/>
    <x v="46"/>
    <x v="33"/>
    <x v="33"/>
    <x v="33"/>
    <x v="14"/>
    <x v="199"/>
    <x v="45"/>
    <x v="53"/>
    <x v="57"/>
    <x v="54"/>
    <x v="348"/>
    <x v="2"/>
  </r>
  <r>
    <x v="0"/>
    <x v="47"/>
    <x v="47"/>
    <x v="2"/>
    <x v="2"/>
    <x v="2"/>
    <x v="0"/>
    <x v="98"/>
    <x v="206"/>
    <x v="29"/>
    <x v="486"/>
    <x v="90"/>
    <x v="44"/>
    <x v="2"/>
  </r>
  <r>
    <x v="0"/>
    <x v="47"/>
    <x v="47"/>
    <x v="0"/>
    <x v="0"/>
    <x v="0"/>
    <x v="1"/>
    <x v="99"/>
    <x v="304"/>
    <x v="29"/>
    <x v="486"/>
    <x v="132"/>
    <x v="188"/>
    <x v="2"/>
  </r>
  <r>
    <x v="0"/>
    <x v="47"/>
    <x v="47"/>
    <x v="11"/>
    <x v="11"/>
    <x v="11"/>
    <x v="2"/>
    <x v="100"/>
    <x v="305"/>
    <x v="98"/>
    <x v="487"/>
    <x v="117"/>
    <x v="349"/>
    <x v="2"/>
  </r>
  <r>
    <x v="0"/>
    <x v="47"/>
    <x v="47"/>
    <x v="1"/>
    <x v="1"/>
    <x v="1"/>
    <x v="2"/>
    <x v="100"/>
    <x v="305"/>
    <x v="70"/>
    <x v="488"/>
    <x v="65"/>
    <x v="8"/>
    <x v="2"/>
  </r>
  <r>
    <x v="0"/>
    <x v="47"/>
    <x v="47"/>
    <x v="10"/>
    <x v="10"/>
    <x v="10"/>
    <x v="4"/>
    <x v="102"/>
    <x v="306"/>
    <x v="52"/>
    <x v="363"/>
    <x v="73"/>
    <x v="350"/>
    <x v="2"/>
  </r>
  <r>
    <x v="0"/>
    <x v="47"/>
    <x v="47"/>
    <x v="13"/>
    <x v="13"/>
    <x v="13"/>
    <x v="5"/>
    <x v="103"/>
    <x v="307"/>
    <x v="60"/>
    <x v="472"/>
    <x v="65"/>
    <x v="8"/>
    <x v="2"/>
  </r>
  <r>
    <x v="0"/>
    <x v="47"/>
    <x v="47"/>
    <x v="14"/>
    <x v="14"/>
    <x v="14"/>
    <x v="6"/>
    <x v="172"/>
    <x v="282"/>
    <x v="98"/>
    <x v="487"/>
    <x v="54"/>
    <x v="64"/>
    <x v="2"/>
  </r>
  <r>
    <x v="0"/>
    <x v="47"/>
    <x v="47"/>
    <x v="49"/>
    <x v="49"/>
    <x v="49"/>
    <x v="7"/>
    <x v="190"/>
    <x v="163"/>
    <x v="87"/>
    <x v="489"/>
    <x v="132"/>
    <x v="188"/>
    <x v="2"/>
  </r>
  <r>
    <x v="0"/>
    <x v="47"/>
    <x v="47"/>
    <x v="12"/>
    <x v="12"/>
    <x v="12"/>
    <x v="8"/>
    <x v="175"/>
    <x v="54"/>
    <x v="30"/>
    <x v="461"/>
    <x v="120"/>
    <x v="351"/>
    <x v="2"/>
  </r>
  <r>
    <x v="0"/>
    <x v="47"/>
    <x v="47"/>
    <x v="40"/>
    <x v="40"/>
    <x v="40"/>
    <x v="8"/>
    <x v="175"/>
    <x v="54"/>
    <x v="80"/>
    <x v="339"/>
    <x v="69"/>
    <x v="171"/>
    <x v="2"/>
  </r>
  <r>
    <x v="0"/>
    <x v="47"/>
    <x v="47"/>
    <x v="4"/>
    <x v="4"/>
    <x v="4"/>
    <x v="10"/>
    <x v="176"/>
    <x v="43"/>
    <x v="42"/>
    <x v="410"/>
    <x v="132"/>
    <x v="188"/>
    <x v="2"/>
  </r>
  <r>
    <x v="0"/>
    <x v="47"/>
    <x v="47"/>
    <x v="8"/>
    <x v="8"/>
    <x v="8"/>
    <x v="11"/>
    <x v="193"/>
    <x v="308"/>
    <x v="80"/>
    <x v="339"/>
    <x v="90"/>
    <x v="44"/>
    <x v="2"/>
  </r>
  <r>
    <x v="0"/>
    <x v="47"/>
    <x v="47"/>
    <x v="3"/>
    <x v="3"/>
    <x v="3"/>
    <x v="11"/>
    <x v="193"/>
    <x v="308"/>
    <x v="80"/>
    <x v="339"/>
    <x v="90"/>
    <x v="44"/>
    <x v="2"/>
  </r>
  <r>
    <x v="0"/>
    <x v="47"/>
    <x v="47"/>
    <x v="42"/>
    <x v="42"/>
    <x v="42"/>
    <x v="13"/>
    <x v="194"/>
    <x v="10"/>
    <x v="33"/>
    <x v="130"/>
    <x v="54"/>
    <x v="64"/>
    <x v="2"/>
  </r>
  <r>
    <x v="0"/>
    <x v="47"/>
    <x v="47"/>
    <x v="5"/>
    <x v="5"/>
    <x v="5"/>
    <x v="13"/>
    <x v="194"/>
    <x v="10"/>
    <x v="31"/>
    <x v="490"/>
    <x v="90"/>
    <x v="44"/>
    <x v="2"/>
  </r>
  <r>
    <x v="0"/>
    <x v="47"/>
    <x v="47"/>
    <x v="9"/>
    <x v="9"/>
    <x v="9"/>
    <x v="15"/>
    <x v="195"/>
    <x v="34"/>
    <x v="53"/>
    <x v="57"/>
    <x v="120"/>
    <x v="351"/>
    <x v="2"/>
  </r>
  <r>
    <x v="0"/>
    <x v="47"/>
    <x v="47"/>
    <x v="36"/>
    <x v="36"/>
    <x v="36"/>
    <x v="15"/>
    <x v="195"/>
    <x v="34"/>
    <x v="59"/>
    <x v="309"/>
    <x v="74"/>
    <x v="352"/>
    <x v="2"/>
  </r>
  <r>
    <x v="0"/>
    <x v="47"/>
    <x v="47"/>
    <x v="39"/>
    <x v="39"/>
    <x v="39"/>
    <x v="15"/>
    <x v="195"/>
    <x v="34"/>
    <x v="33"/>
    <x v="130"/>
    <x v="90"/>
    <x v="44"/>
    <x v="2"/>
  </r>
  <r>
    <x v="0"/>
    <x v="47"/>
    <x v="47"/>
    <x v="17"/>
    <x v="17"/>
    <x v="17"/>
    <x v="18"/>
    <x v="196"/>
    <x v="309"/>
    <x v="53"/>
    <x v="57"/>
    <x v="74"/>
    <x v="352"/>
    <x v="2"/>
  </r>
  <r>
    <x v="0"/>
    <x v="47"/>
    <x v="47"/>
    <x v="28"/>
    <x v="28"/>
    <x v="28"/>
    <x v="18"/>
    <x v="196"/>
    <x v="309"/>
    <x v="52"/>
    <x v="363"/>
    <x v="54"/>
    <x v="64"/>
    <x v="2"/>
  </r>
  <r>
    <x v="0"/>
    <x v="47"/>
    <x v="47"/>
    <x v="73"/>
    <x v="73"/>
    <x v="73"/>
    <x v="18"/>
    <x v="196"/>
    <x v="309"/>
    <x v="33"/>
    <x v="130"/>
    <x v="132"/>
    <x v="188"/>
    <x v="2"/>
  </r>
  <r>
    <x v="0"/>
    <x v="47"/>
    <x v="47"/>
    <x v="30"/>
    <x v="30"/>
    <x v="30"/>
    <x v="18"/>
    <x v="196"/>
    <x v="309"/>
    <x v="30"/>
    <x v="461"/>
    <x v="90"/>
    <x v="44"/>
    <x v="2"/>
  </r>
  <r>
    <x v="0"/>
    <x v="47"/>
    <x v="47"/>
    <x v="51"/>
    <x v="51"/>
    <x v="51"/>
    <x v="18"/>
    <x v="196"/>
    <x v="309"/>
    <x v="48"/>
    <x v="420"/>
    <x v="69"/>
    <x v="171"/>
    <x v="2"/>
  </r>
  <r>
    <x v="0"/>
    <x v="47"/>
    <x v="47"/>
    <x v="7"/>
    <x v="7"/>
    <x v="7"/>
    <x v="18"/>
    <x v="196"/>
    <x v="309"/>
    <x v="33"/>
    <x v="130"/>
    <x v="132"/>
    <x v="188"/>
    <x v="2"/>
  </r>
  <r>
    <x v="0"/>
    <x v="47"/>
    <x v="47"/>
    <x v="25"/>
    <x v="25"/>
    <x v="25"/>
    <x v="18"/>
    <x v="196"/>
    <x v="309"/>
    <x v="53"/>
    <x v="57"/>
    <x v="74"/>
    <x v="352"/>
    <x v="2"/>
  </r>
  <r>
    <x v="0"/>
    <x v="47"/>
    <x v="47"/>
    <x v="74"/>
    <x v="74"/>
    <x v="74"/>
    <x v="18"/>
    <x v="196"/>
    <x v="309"/>
    <x v="33"/>
    <x v="130"/>
    <x v="132"/>
    <x v="188"/>
    <x v="2"/>
  </r>
  <r>
    <x v="0"/>
    <x v="47"/>
    <x v="47"/>
    <x v="21"/>
    <x v="21"/>
    <x v="21"/>
    <x v="18"/>
    <x v="196"/>
    <x v="309"/>
    <x v="52"/>
    <x v="363"/>
    <x v="54"/>
    <x v="64"/>
    <x v="2"/>
  </r>
  <r>
    <x v="0"/>
    <x v="48"/>
    <x v="48"/>
    <x v="75"/>
    <x v="75"/>
    <x v="75"/>
    <x v="0"/>
    <x v="82"/>
    <x v="310"/>
    <x v="26"/>
    <x v="491"/>
    <x v="54"/>
    <x v="263"/>
    <x v="2"/>
  </r>
  <r>
    <x v="0"/>
    <x v="48"/>
    <x v="48"/>
    <x v="2"/>
    <x v="2"/>
    <x v="2"/>
    <x v="1"/>
    <x v="99"/>
    <x v="311"/>
    <x v="75"/>
    <x v="492"/>
    <x v="90"/>
    <x v="124"/>
    <x v="2"/>
  </r>
  <r>
    <x v="0"/>
    <x v="48"/>
    <x v="48"/>
    <x v="0"/>
    <x v="0"/>
    <x v="0"/>
    <x v="2"/>
    <x v="101"/>
    <x v="312"/>
    <x v="44"/>
    <x v="493"/>
    <x v="132"/>
    <x v="188"/>
    <x v="2"/>
  </r>
  <r>
    <x v="0"/>
    <x v="48"/>
    <x v="48"/>
    <x v="11"/>
    <x v="11"/>
    <x v="11"/>
    <x v="3"/>
    <x v="172"/>
    <x v="313"/>
    <x v="60"/>
    <x v="494"/>
    <x v="69"/>
    <x v="312"/>
    <x v="2"/>
  </r>
  <r>
    <x v="0"/>
    <x v="48"/>
    <x v="48"/>
    <x v="40"/>
    <x v="40"/>
    <x v="40"/>
    <x v="4"/>
    <x v="174"/>
    <x v="212"/>
    <x v="31"/>
    <x v="188"/>
    <x v="74"/>
    <x v="353"/>
    <x v="2"/>
  </r>
  <r>
    <x v="0"/>
    <x v="48"/>
    <x v="48"/>
    <x v="13"/>
    <x v="13"/>
    <x v="13"/>
    <x v="4"/>
    <x v="174"/>
    <x v="212"/>
    <x v="72"/>
    <x v="256"/>
    <x v="90"/>
    <x v="124"/>
    <x v="2"/>
  </r>
  <r>
    <x v="0"/>
    <x v="48"/>
    <x v="48"/>
    <x v="4"/>
    <x v="4"/>
    <x v="4"/>
    <x v="6"/>
    <x v="175"/>
    <x v="128"/>
    <x v="42"/>
    <x v="444"/>
    <x v="90"/>
    <x v="124"/>
    <x v="2"/>
  </r>
  <r>
    <x v="0"/>
    <x v="48"/>
    <x v="48"/>
    <x v="14"/>
    <x v="14"/>
    <x v="14"/>
    <x v="7"/>
    <x v="176"/>
    <x v="191"/>
    <x v="80"/>
    <x v="384"/>
    <x v="54"/>
    <x v="263"/>
    <x v="2"/>
  </r>
  <r>
    <x v="0"/>
    <x v="48"/>
    <x v="48"/>
    <x v="5"/>
    <x v="5"/>
    <x v="5"/>
    <x v="8"/>
    <x v="193"/>
    <x v="314"/>
    <x v="27"/>
    <x v="495"/>
    <x v="132"/>
    <x v="188"/>
    <x v="2"/>
  </r>
  <r>
    <x v="0"/>
    <x v="48"/>
    <x v="48"/>
    <x v="30"/>
    <x v="30"/>
    <x v="30"/>
    <x v="9"/>
    <x v="194"/>
    <x v="66"/>
    <x v="33"/>
    <x v="496"/>
    <x v="54"/>
    <x v="263"/>
    <x v="2"/>
  </r>
  <r>
    <x v="0"/>
    <x v="48"/>
    <x v="48"/>
    <x v="12"/>
    <x v="12"/>
    <x v="12"/>
    <x v="9"/>
    <x v="194"/>
    <x v="66"/>
    <x v="30"/>
    <x v="229"/>
    <x v="69"/>
    <x v="312"/>
    <x v="2"/>
  </r>
  <r>
    <x v="0"/>
    <x v="48"/>
    <x v="48"/>
    <x v="10"/>
    <x v="10"/>
    <x v="10"/>
    <x v="11"/>
    <x v="195"/>
    <x v="165"/>
    <x v="59"/>
    <x v="209"/>
    <x v="74"/>
    <x v="353"/>
    <x v="2"/>
  </r>
  <r>
    <x v="0"/>
    <x v="48"/>
    <x v="48"/>
    <x v="17"/>
    <x v="17"/>
    <x v="17"/>
    <x v="11"/>
    <x v="195"/>
    <x v="165"/>
    <x v="52"/>
    <x v="497"/>
    <x v="69"/>
    <x v="312"/>
    <x v="2"/>
  </r>
  <r>
    <x v="0"/>
    <x v="48"/>
    <x v="48"/>
    <x v="49"/>
    <x v="49"/>
    <x v="49"/>
    <x v="11"/>
    <x v="195"/>
    <x v="165"/>
    <x v="31"/>
    <x v="188"/>
    <x v="132"/>
    <x v="188"/>
    <x v="2"/>
  </r>
  <r>
    <x v="0"/>
    <x v="48"/>
    <x v="48"/>
    <x v="8"/>
    <x v="8"/>
    <x v="8"/>
    <x v="11"/>
    <x v="195"/>
    <x v="165"/>
    <x v="30"/>
    <x v="229"/>
    <x v="54"/>
    <x v="263"/>
    <x v="2"/>
  </r>
  <r>
    <x v="0"/>
    <x v="48"/>
    <x v="48"/>
    <x v="9"/>
    <x v="9"/>
    <x v="9"/>
    <x v="11"/>
    <x v="195"/>
    <x v="165"/>
    <x v="52"/>
    <x v="497"/>
    <x v="69"/>
    <x v="312"/>
    <x v="2"/>
  </r>
  <r>
    <x v="0"/>
    <x v="48"/>
    <x v="48"/>
    <x v="39"/>
    <x v="39"/>
    <x v="39"/>
    <x v="11"/>
    <x v="195"/>
    <x v="165"/>
    <x v="31"/>
    <x v="188"/>
    <x v="132"/>
    <x v="188"/>
    <x v="2"/>
  </r>
  <r>
    <x v="0"/>
    <x v="48"/>
    <x v="48"/>
    <x v="42"/>
    <x v="42"/>
    <x v="42"/>
    <x v="11"/>
    <x v="195"/>
    <x v="165"/>
    <x v="33"/>
    <x v="496"/>
    <x v="90"/>
    <x v="124"/>
    <x v="2"/>
  </r>
  <r>
    <x v="0"/>
    <x v="48"/>
    <x v="48"/>
    <x v="3"/>
    <x v="3"/>
    <x v="3"/>
    <x v="11"/>
    <x v="195"/>
    <x v="165"/>
    <x v="31"/>
    <x v="188"/>
    <x v="132"/>
    <x v="188"/>
    <x v="2"/>
  </r>
  <r>
    <x v="0"/>
    <x v="48"/>
    <x v="48"/>
    <x v="71"/>
    <x v="71"/>
    <x v="71"/>
    <x v="19"/>
    <x v="196"/>
    <x v="83"/>
    <x v="33"/>
    <x v="496"/>
    <x v="132"/>
    <x v="188"/>
    <x v="2"/>
  </r>
  <r>
    <x v="0"/>
    <x v="48"/>
    <x v="48"/>
    <x v="7"/>
    <x v="7"/>
    <x v="7"/>
    <x v="19"/>
    <x v="196"/>
    <x v="83"/>
    <x v="52"/>
    <x v="497"/>
    <x v="54"/>
    <x v="263"/>
    <x v="2"/>
  </r>
  <r>
    <x v="0"/>
    <x v="48"/>
    <x v="48"/>
    <x v="21"/>
    <x v="21"/>
    <x v="21"/>
    <x v="19"/>
    <x v="196"/>
    <x v="83"/>
    <x v="59"/>
    <x v="209"/>
    <x v="65"/>
    <x v="354"/>
    <x v="2"/>
  </r>
  <r>
    <x v="0"/>
    <x v="49"/>
    <x v="49"/>
    <x v="0"/>
    <x v="0"/>
    <x v="0"/>
    <x v="0"/>
    <x v="82"/>
    <x v="315"/>
    <x v="69"/>
    <x v="498"/>
    <x v="90"/>
    <x v="246"/>
    <x v="2"/>
  </r>
  <r>
    <x v="0"/>
    <x v="49"/>
    <x v="49"/>
    <x v="41"/>
    <x v="41"/>
    <x v="41"/>
    <x v="1"/>
    <x v="136"/>
    <x v="316"/>
    <x v="78"/>
    <x v="499"/>
    <x v="82"/>
    <x v="355"/>
    <x v="2"/>
  </r>
  <r>
    <x v="0"/>
    <x v="49"/>
    <x v="49"/>
    <x v="8"/>
    <x v="8"/>
    <x v="8"/>
    <x v="2"/>
    <x v="102"/>
    <x v="317"/>
    <x v="30"/>
    <x v="500"/>
    <x v="46"/>
    <x v="356"/>
    <x v="2"/>
  </r>
  <r>
    <x v="0"/>
    <x v="49"/>
    <x v="49"/>
    <x v="2"/>
    <x v="2"/>
    <x v="2"/>
    <x v="2"/>
    <x v="102"/>
    <x v="317"/>
    <x v="70"/>
    <x v="501"/>
    <x v="90"/>
    <x v="246"/>
    <x v="2"/>
  </r>
  <r>
    <x v="0"/>
    <x v="49"/>
    <x v="49"/>
    <x v="13"/>
    <x v="13"/>
    <x v="13"/>
    <x v="4"/>
    <x v="103"/>
    <x v="222"/>
    <x v="42"/>
    <x v="25"/>
    <x v="120"/>
    <x v="164"/>
    <x v="2"/>
  </r>
  <r>
    <x v="0"/>
    <x v="49"/>
    <x v="49"/>
    <x v="11"/>
    <x v="11"/>
    <x v="11"/>
    <x v="5"/>
    <x v="190"/>
    <x v="318"/>
    <x v="42"/>
    <x v="25"/>
    <x v="65"/>
    <x v="145"/>
    <x v="2"/>
  </r>
  <r>
    <x v="0"/>
    <x v="49"/>
    <x v="49"/>
    <x v="42"/>
    <x v="42"/>
    <x v="42"/>
    <x v="5"/>
    <x v="190"/>
    <x v="318"/>
    <x v="98"/>
    <x v="502"/>
    <x v="90"/>
    <x v="246"/>
    <x v="2"/>
  </r>
  <r>
    <x v="0"/>
    <x v="49"/>
    <x v="49"/>
    <x v="3"/>
    <x v="3"/>
    <x v="3"/>
    <x v="7"/>
    <x v="173"/>
    <x v="319"/>
    <x v="27"/>
    <x v="503"/>
    <x v="65"/>
    <x v="145"/>
    <x v="2"/>
  </r>
  <r>
    <x v="0"/>
    <x v="49"/>
    <x v="49"/>
    <x v="10"/>
    <x v="10"/>
    <x v="10"/>
    <x v="8"/>
    <x v="175"/>
    <x v="171"/>
    <x v="59"/>
    <x v="16"/>
    <x v="82"/>
    <x v="355"/>
    <x v="2"/>
  </r>
  <r>
    <x v="0"/>
    <x v="49"/>
    <x v="49"/>
    <x v="19"/>
    <x v="19"/>
    <x v="19"/>
    <x v="9"/>
    <x v="176"/>
    <x v="256"/>
    <x v="48"/>
    <x v="63"/>
    <x v="117"/>
    <x v="357"/>
    <x v="2"/>
  </r>
  <r>
    <x v="0"/>
    <x v="49"/>
    <x v="49"/>
    <x v="7"/>
    <x v="7"/>
    <x v="7"/>
    <x v="9"/>
    <x v="176"/>
    <x v="256"/>
    <x v="52"/>
    <x v="177"/>
    <x v="120"/>
    <x v="164"/>
    <x v="2"/>
  </r>
  <r>
    <x v="0"/>
    <x v="49"/>
    <x v="49"/>
    <x v="54"/>
    <x v="54"/>
    <x v="54"/>
    <x v="11"/>
    <x v="193"/>
    <x v="166"/>
    <x v="33"/>
    <x v="504"/>
    <x v="69"/>
    <x v="243"/>
    <x v="2"/>
  </r>
  <r>
    <x v="0"/>
    <x v="49"/>
    <x v="49"/>
    <x v="4"/>
    <x v="4"/>
    <x v="4"/>
    <x v="11"/>
    <x v="193"/>
    <x v="166"/>
    <x v="80"/>
    <x v="383"/>
    <x v="90"/>
    <x v="246"/>
    <x v="2"/>
  </r>
  <r>
    <x v="0"/>
    <x v="49"/>
    <x v="49"/>
    <x v="17"/>
    <x v="17"/>
    <x v="17"/>
    <x v="13"/>
    <x v="194"/>
    <x v="11"/>
    <x v="59"/>
    <x v="16"/>
    <x v="120"/>
    <x v="164"/>
    <x v="2"/>
  </r>
  <r>
    <x v="0"/>
    <x v="49"/>
    <x v="49"/>
    <x v="9"/>
    <x v="9"/>
    <x v="9"/>
    <x v="13"/>
    <x v="194"/>
    <x v="11"/>
    <x v="30"/>
    <x v="500"/>
    <x v="69"/>
    <x v="243"/>
    <x v="2"/>
  </r>
  <r>
    <x v="0"/>
    <x v="49"/>
    <x v="49"/>
    <x v="46"/>
    <x v="46"/>
    <x v="46"/>
    <x v="13"/>
    <x v="194"/>
    <x v="11"/>
    <x v="52"/>
    <x v="177"/>
    <x v="65"/>
    <x v="145"/>
    <x v="2"/>
  </r>
  <r>
    <x v="0"/>
    <x v="49"/>
    <x v="49"/>
    <x v="47"/>
    <x v="47"/>
    <x v="47"/>
    <x v="13"/>
    <x v="194"/>
    <x v="11"/>
    <x v="30"/>
    <x v="500"/>
    <x v="69"/>
    <x v="243"/>
    <x v="2"/>
  </r>
  <r>
    <x v="0"/>
    <x v="49"/>
    <x v="49"/>
    <x v="24"/>
    <x v="24"/>
    <x v="24"/>
    <x v="13"/>
    <x v="194"/>
    <x v="11"/>
    <x v="30"/>
    <x v="500"/>
    <x v="69"/>
    <x v="243"/>
    <x v="2"/>
  </r>
  <r>
    <x v="0"/>
    <x v="49"/>
    <x v="49"/>
    <x v="49"/>
    <x v="49"/>
    <x v="49"/>
    <x v="18"/>
    <x v="195"/>
    <x v="134"/>
    <x v="33"/>
    <x v="504"/>
    <x v="90"/>
    <x v="246"/>
    <x v="2"/>
  </r>
  <r>
    <x v="0"/>
    <x v="49"/>
    <x v="49"/>
    <x v="28"/>
    <x v="28"/>
    <x v="28"/>
    <x v="18"/>
    <x v="195"/>
    <x v="134"/>
    <x v="52"/>
    <x v="177"/>
    <x v="69"/>
    <x v="243"/>
    <x v="2"/>
  </r>
  <r>
    <x v="0"/>
    <x v="49"/>
    <x v="49"/>
    <x v="5"/>
    <x v="5"/>
    <x v="5"/>
    <x v="18"/>
    <x v="195"/>
    <x v="134"/>
    <x v="31"/>
    <x v="505"/>
    <x v="132"/>
    <x v="188"/>
    <x v="2"/>
  </r>
  <r>
    <x v="0"/>
    <x v="50"/>
    <x v="50"/>
    <x v="13"/>
    <x v="13"/>
    <x v="13"/>
    <x v="0"/>
    <x v="175"/>
    <x v="320"/>
    <x v="33"/>
    <x v="185"/>
    <x v="74"/>
    <x v="107"/>
    <x v="2"/>
  </r>
  <r>
    <x v="0"/>
    <x v="50"/>
    <x v="50"/>
    <x v="11"/>
    <x v="11"/>
    <x v="11"/>
    <x v="1"/>
    <x v="193"/>
    <x v="195"/>
    <x v="33"/>
    <x v="185"/>
    <x v="69"/>
    <x v="169"/>
    <x v="2"/>
  </r>
  <r>
    <x v="0"/>
    <x v="50"/>
    <x v="50"/>
    <x v="76"/>
    <x v="76"/>
    <x v="76"/>
    <x v="1"/>
    <x v="193"/>
    <x v="195"/>
    <x v="53"/>
    <x v="57"/>
    <x v="61"/>
    <x v="358"/>
    <x v="2"/>
  </r>
  <r>
    <x v="0"/>
    <x v="50"/>
    <x v="50"/>
    <x v="42"/>
    <x v="42"/>
    <x v="42"/>
    <x v="3"/>
    <x v="194"/>
    <x v="114"/>
    <x v="31"/>
    <x v="184"/>
    <x v="90"/>
    <x v="359"/>
    <x v="2"/>
  </r>
  <r>
    <x v="0"/>
    <x v="50"/>
    <x v="50"/>
    <x v="10"/>
    <x v="10"/>
    <x v="10"/>
    <x v="4"/>
    <x v="195"/>
    <x v="321"/>
    <x v="53"/>
    <x v="57"/>
    <x v="120"/>
    <x v="360"/>
    <x v="2"/>
  </r>
  <r>
    <x v="0"/>
    <x v="50"/>
    <x v="50"/>
    <x v="2"/>
    <x v="2"/>
    <x v="2"/>
    <x v="4"/>
    <x v="195"/>
    <x v="321"/>
    <x v="33"/>
    <x v="185"/>
    <x v="90"/>
    <x v="359"/>
    <x v="2"/>
  </r>
  <r>
    <x v="0"/>
    <x v="50"/>
    <x v="50"/>
    <x v="0"/>
    <x v="0"/>
    <x v="0"/>
    <x v="4"/>
    <x v="195"/>
    <x v="321"/>
    <x v="31"/>
    <x v="184"/>
    <x v="132"/>
    <x v="188"/>
    <x v="2"/>
  </r>
  <r>
    <x v="0"/>
    <x v="50"/>
    <x v="50"/>
    <x v="17"/>
    <x v="17"/>
    <x v="17"/>
    <x v="7"/>
    <x v="196"/>
    <x v="207"/>
    <x v="59"/>
    <x v="328"/>
    <x v="65"/>
    <x v="361"/>
    <x v="2"/>
  </r>
  <r>
    <x v="0"/>
    <x v="50"/>
    <x v="50"/>
    <x v="77"/>
    <x v="77"/>
    <x v="77"/>
    <x v="7"/>
    <x v="196"/>
    <x v="207"/>
    <x v="53"/>
    <x v="57"/>
    <x v="74"/>
    <x v="107"/>
    <x v="2"/>
  </r>
  <r>
    <x v="0"/>
    <x v="50"/>
    <x v="50"/>
    <x v="3"/>
    <x v="3"/>
    <x v="3"/>
    <x v="7"/>
    <x v="196"/>
    <x v="207"/>
    <x v="48"/>
    <x v="192"/>
    <x v="69"/>
    <x v="169"/>
    <x v="2"/>
  </r>
  <r>
    <x v="0"/>
    <x v="50"/>
    <x v="50"/>
    <x v="55"/>
    <x v="55"/>
    <x v="55"/>
    <x v="10"/>
    <x v="197"/>
    <x v="81"/>
    <x v="53"/>
    <x v="57"/>
    <x v="65"/>
    <x v="361"/>
    <x v="2"/>
  </r>
  <r>
    <x v="0"/>
    <x v="50"/>
    <x v="50"/>
    <x v="39"/>
    <x v="39"/>
    <x v="39"/>
    <x v="10"/>
    <x v="197"/>
    <x v="81"/>
    <x v="52"/>
    <x v="189"/>
    <x v="90"/>
    <x v="359"/>
    <x v="2"/>
  </r>
  <r>
    <x v="0"/>
    <x v="50"/>
    <x v="50"/>
    <x v="78"/>
    <x v="78"/>
    <x v="78"/>
    <x v="12"/>
    <x v="198"/>
    <x v="145"/>
    <x v="53"/>
    <x v="57"/>
    <x v="69"/>
    <x v="169"/>
    <x v="2"/>
  </r>
  <r>
    <x v="0"/>
    <x v="50"/>
    <x v="50"/>
    <x v="14"/>
    <x v="14"/>
    <x v="14"/>
    <x v="12"/>
    <x v="198"/>
    <x v="145"/>
    <x v="48"/>
    <x v="192"/>
    <x v="90"/>
    <x v="359"/>
    <x v="2"/>
  </r>
  <r>
    <x v="0"/>
    <x v="50"/>
    <x v="50"/>
    <x v="66"/>
    <x v="66"/>
    <x v="66"/>
    <x v="12"/>
    <x v="198"/>
    <x v="145"/>
    <x v="53"/>
    <x v="57"/>
    <x v="69"/>
    <x v="169"/>
    <x v="2"/>
  </r>
  <r>
    <x v="0"/>
    <x v="50"/>
    <x v="50"/>
    <x v="40"/>
    <x v="40"/>
    <x v="40"/>
    <x v="12"/>
    <x v="198"/>
    <x v="145"/>
    <x v="53"/>
    <x v="57"/>
    <x v="69"/>
    <x v="169"/>
    <x v="2"/>
  </r>
  <r>
    <x v="0"/>
    <x v="50"/>
    <x v="50"/>
    <x v="7"/>
    <x v="7"/>
    <x v="7"/>
    <x v="12"/>
    <x v="198"/>
    <x v="145"/>
    <x v="59"/>
    <x v="328"/>
    <x v="54"/>
    <x v="159"/>
    <x v="2"/>
  </r>
  <r>
    <x v="0"/>
    <x v="50"/>
    <x v="50"/>
    <x v="16"/>
    <x v="16"/>
    <x v="16"/>
    <x v="12"/>
    <x v="198"/>
    <x v="145"/>
    <x v="53"/>
    <x v="57"/>
    <x v="69"/>
    <x v="169"/>
    <x v="2"/>
  </r>
  <r>
    <x v="0"/>
    <x v="50"/>
    <x v="50"/>
    <x v="15"/>
    <x v="15"/>
    <x v="15"/>
    <x v="12"/>
    <x v="198"/>
    <x v="145"/>
    <x v="53"/>
    <x v="57"/>
    <x v="69"/>
    <x v="169"/>
    <x v="2"/>
  </r>
  <r>
    <x v="0"/>
    <x v="50"/>
    <x v="50"/>
    <x v="18"/>
    <x v="18"/>
    <x v="18"/>
    <x v="12"/>
    <x v="198"/>
    <x v="145"/>
    <x v="59"/>
    <x v="328"/>
    <x v="54"/>
    <x v="159"/>
    <x v="2"/>
  </r>
  <r>
    <x v="0"/>
    <x v="51"/>
    <x v="51"/>
    <x v="0"/>
    <x v="0"/>
    <x v="0"/>
    <x v="0"/>
    <x v="72"/>
    <x v="322"/>
    <x v="116"/>
    <x v="506"/>
    <x v="90"/>
    <x v="287"/>
    <x v="2"/>
  </r>
  <r>
    <x v="0"/>
    <x v="51"/>
    <x v="51"/>
    <x v="2"/>
    <x v="2"/>
    <x v="2"/>
    <x v="1"/>
    <x v="95"/>
    <x v="323"/>
    <x v="81"/>
    <x v="507"/>
    <x v="90"/>
    <x v="287"/>
    <x v="2"/>
  </r>
  <r>
    <x v="0"/>
    <x v="51"/>
    <x v="51"/>
    <x v="3"/>
    <x v="3"/>
    <x v="3"/>
    <x v="2"/>
    <x v="101"/>
    <x v="114"/>
    <x v="79"/>
    <x v="478"/>
    <x v="54"/>
    <x v="201"/>
    <x v="2"/>
  </r>
  <r>
    <x v="0"/>
    <x v="51"/>
    <x v="51"/>
    <x v="11"/>
    <x v="11"/>
    <x v="11"/>
    <x v="3"/>
    <x v="104"/>
    <x v="181"/>
    <x v="60"/>
    <x v="508"/>
    <x v="120"/>
    <x v="290"/>
    <x v="2"/>
  </r>
  <r>
    <x v="0"/>
    <x v="51"/>
    <x v="51"/>
    <x v="10"/>
    <x v="10"/>
    <x v="10"/>
    <x v="4"/>
    <x v="102"/>
    <x v="170"/>
    <x v="59"/>
    <x v="205"/>
    <x v="78"/>
    <x v="362"/>
    <x v="2"/>
  </r>
  <r>
    <x v="0"/>
    <x v="51"/>
    <x v="51"/>
    <x v="13"/>
    <x v="13"/>
    <x v="13"/>
    <x v="5"/>
    <x v="103"/>
    <x v="324"/>
    <x v="98"/>
    <x v="509"/>
    <x v="69"/>
    <x v="0"/>
    <x v="2"/>
  </r>
  <r>
    <x v="0"/>
    <x v="51"/>
    <x v="51"/>
    <x v="49"/>
    <x v="49"/>
    <x v="49"/>
    <x v="6"/>
    <x v="172"/>
    <x v="109"/>
    <x v="60"/>
    <x v="508"/>
    <x v="69"/>
    <x v="0"/>
    <x v="2"/>
  </r>
  <r>
    <x v="0"/>
    <x v="51"/>
    <x v="51"/>
    <x v="8"/>
    <x v="8"/>
    <x v="8"/>
    <x v="7"/>
    <x v="190"/>
    <x v="235"/>
    <x v="27"/>
    <x v="188"/>
    <x v="74"/>
    <x v="363"/>
    <x v="2"/>
  </r>
  <r>
    <x v="0"/>
    <x v="51"/>
    <x v="51"/>
    <x v="28"/>
    <x v="28"/>
    <x v="28"/>
    <x v="8"/>
    <x v="173"/>
    <x v="255"/>
    <x v="48"/>
    <x v="18"/>
    <x v="42"/>
    <x v="364"/>
    <x v="2"/>
  </r>
  <r>
    <x v="0"/>
    <x v="51"/>
    <x v="51"/>
    <x v="1"/>
    <x v="1"/>
    <x v="1"/>
    <x v="8"/>
    <x v="173"/>
    <x v="255"/>
    <x v="72"/>
    <x v="467"/>
    <x v="54"/>
    <x v="201"/>
    <x v="2"/>
  </r>
  <r>
    <x v="0"/>
    <x v="51"/>
    <x v="51"/>
    <x v="12"/>
    <x v="12"/>
    <x v="12"/>
    <x v="10"/>
    <x v="174"/>
    <x v="256"/>
    <x v="31"/>
    <x v="129"/>
    <x v="74"/>
    <x v="363"/>
    <x v="2"/>
  </r>
  <r>
    <x v="0"/>
    <x v="51"/>
    <x v="51"/>
    <x v="7"/>
    <x v="7"/>
    <x v="7"/>
    <x v="10"/>
    <x v="174"/>
    <x v="256"/>
    <x v="33"/>
    <x v="500"/>
    <x v="120"/>
    <x v="290"/>
    <x v="2"/>
  </r>
  <r>
    <x v="0"/>
    <x v="51"/>
    <x v="51"/>
    <x v="9"/>
    <x v="9"/>
    <x v="9"/>
    <x v="12"/>
    <x v="175"/>
    <x v="165"/>
    <x v="33"/>
    <x v="500"/>
    <x v="74"/>
    <x v="363"/>
    <x v="2"/>
  </r>
  <r>
    <x v="0"/>
    <x v="51"/>
    <x v="51"/>
    <x v="4"/>
    <x v="4"/>
    <x v="4"/>
    <x v="12"/>
    <x v="175"/>
    <x v="165"/>
    <x v="72"/>
    <x v="467"/>
    <x v="132"/>
    <x v="188"/>
    <x v="2"/>
  </r>
  <r>
    <x v="0"/>
    <x v="51"/>
    <x v="51"/>
    <x v="17"/>
    <x v="17"/>
    <x v="17"/>
    <x v="14"/>
    <x v="193"/>
    <x v="118"/>
    <x v="52"/>
    <x v="248"/>
    <x v="74"/>
    <x v="363"/>
    <x v="2"/>
  </r>
  <r>
    <x v="0"/>
    <x v="51"/>
    <x v="51"/>
    <x v="14"/>
    <x v="14"/>
    <x v="14"/>
    <x v="14"/>
    <x v="193"/>
    <x v="118"/>
    <x v="52"/>
    <x v="248"/>
    <x v="74"/>
    <x v="363"/>
    <x v="2"/>
  </r>
  <r>
    <x v="0"/>
    <x v="51"/>
    <x v="51"/>
    <x v="56"/>
    <x v="56"/>
    <x v="56"/>
    <x v="14"/>
    <x v="193"/>
    <x v="118"/>
    <x v="30"/>
    <x v="227"/>
    <x v="65"/>
    <x v="293"/>
    <x v="2"/>
  </r>
  <r>
    <x v="0"/>
    <x v="51"/>
    <x v="51"/>
    <x v="46"/>
    <x v="46"/>
    <x v="46"/>
    <x v="14"/>
    <x v="193"/>
    <x v="118"/>
    <x v="33"/>
    <x v="500"/>
    <x v="69"/>
    <x v="0"/>
    <x v="2"/>
  </r>
  <r>
    <x v="0"/>
    <x v="51"/>
    <x v="51"/>
    <x v="42"/>
    <x v="42"/>
    <x v="42"/>
    <x v="14"/>
    <x v="193"/>
    <x v="118"/>
    <x v="31"/>
    <x v="129"/>
    <x v="90"/>
    <x v="287"/>
    <x v="0"/>
  </r>
  <r>
    <x v="0"/>
    <x v="51"/>
    <x v="51"/>
    <x v="5"/>
    <x v="5"/>
    <x v="5"/>
    <x v="14"/>
    <x v="193"/>
    <x v="118"/>
    <x v="27"/>
    <x v="188"/>
    <x v="132"/>
    <x v="188"/>
    <x v="2"/>
  </r>
  <r>
    <x v="0"/>
    <x v="52"/>
    <x v="52"/>
    <x v="0"/>
    <x v="0"/>
    <x v="0"/>
    <x v="0"/>
    <x v="137"/>
    <x v="325"/>
    <x v="49"/>
    <x v="510"/>
    <x v="90"/>
    <x v="5"/>
    <x v="2"/>
  </r>
  <r>
    <x v="0"/>
    <x v="52"/>
    <x v="52"/>
    <x v="3"/>
    <x v="3"/>
    <x v="3"/>
    <x v="1"/>
    <x v="100"/>
    <x v="326"/>
    <x v="70"/>
    <x v="463"/>
    <x v="65"/>
    <x v="365"/>
    <x v="2"/>
  </r>
  <r>
    <x v="0"/>
    <x v="52"/>
    <x v="52"/>
    <x v="2"/>
    <x v="2"/>
    <x v="2"/>
    <x v="2"/>
    <x v="190"/>
    <x v="180"/>
    <x v="87"/>
    <x v="387"/>
    <x v="132"/>
    <x v="188"/>
    <x v="2"/>
  </r>
  <r>
    <x v="0"/>
    <x v="52"/>
    <x v="52"/>
    <x v="47"/>
    <x v="47"/>
    <x v="47"/>
    <x v="3"/>
    <x v="173"/>
    <x v="154"/>
    <x v="60"/>
    <x v="3"/>
    <x v="90"/>
    <x v="5"/>
    <x v="2"/>
  </r>
  <r>
    <x v="0"/>
    <x v="52"/>
    <x v="52"/>
    <x v="13"/>
    <x v="13"/>
    <x v="13"/>
    <x v="4"/>
    <x v="174"/>
    <x v="290"/>
    <x v="27"/>
    <x v="67"/>
    <x v="69"/>
    <x v="299"/>
    <x v="2"/>
  </r>
  <r>
    <x v="0"/>
    <x v="52"/>
    <x v="52"/>
    <x v="54"/>
    <x v="54"/>
    <x v="54"/>
    <x v="5"/>
    <x v="175"/>
    <x v="321"/>
    <x v="27"/>
    <x v="67"/>
    <x v="54"/>
    <x v="126"/>
    <x v="2"/>
  </r>
  <r>
    <x v="0"/>
    <x v="52"/>
    <x v="52"/>
    <x v="5"/>
    <x v="5"/>
    <x v="5"/>
    <x v="5"/>
    <x v="175"/>
    <x v="321"/>
    <x v="27"/>
    <x v="67"/>
    <x v="54"/>
    <x v="126"/>
    <x v="2"/>
  </r>
  <r>
    <x v="0"/>
    <x v="52"/>
    <x v="52"/>
    <x v="7"/>
    <x v="7"/>
    <x v="7"/>
    <x v="7"/>
    <x v="176"/>
    <x v="327"/>
    <x v="33"/>
    <x v="132"/>
    <x v="65"/>
    <x v="365"/>
    <x v="2"/>
  </r>
  <r>
    <x v="0"/>
    <x v="52"/>
    <x v="52"/>
    <x v="14"/>
    <x v="14"/>
    <x v="14"/>
    <x v="8"/>
    <x v="193"/>
    <x v="115"/>
    <x v="31"/>
    <x v="73"/>
    <x v="54"/>
    <x v="126"/>
    <x v="2"/>
  </r>
  <r>
    <x v="0"/>
    <x v="52"/>
    <x v="52"/>
    <x v="9"/>
    <x v="9"/>
    <x v="9"/>
    <x v="9"/>
    <x v="194"/>
    <x v="91"/>
    <x v="48"/>
    <x v="300"/>
    <x v="74"/>
    <x v="357"/>
    <x v="2"/>
  </r>
  <r>
    <x v="0"/>
    <x v="52"/>
    <x v="52"/>
    <x v="22"/>
    <x v="22"/>
    <x v="22"/>
    <x v="9"/>
    <x v="194"/>
    <x v="91"/>
    <x v="53"/>
    <x v="57"/>
    <x v="117"/>
    <x v="366"/>
    <x v="2"/>
  </r>
  <r>
    <x v="0"/>
    <x v="52"/>
    <x v="52"/>
    <x v="42"/>
    <x v="42"/>
    <x v="42"/>
    <x v="9"/>
    <x v="194"/>
    <x v="91"/>
    <x v="80"/>
    <x v="511"/>
    <x v="132"/>
    <x v="188"/>
    <x v="2"/>
  </r>
  <r>
    <x v="0"/>
    <x v="52"/>
    <x v="52"/>
    <x v="11"/>
    <x v="11"/>
    <x v="11"/>
    <x v="12"/>
    <x v="195"/>
    <x v="30"/>
    <x v="48"/>
    <x v="300"/>
    <x v="65"/>
    <x v="365"/>
    <x v="2"/>
  </r>
  <r>
    <x v="0"/>
    <x v="52"/>
    <x v="52"/>
    <x v="26"/>
    <x v="26"/>
    <x v="26"/>
    <x v="12"/>
    <x v="195"/>
    <x v="30"/>
    <x v="48"/>
    <x v="300"/>
    <x v="65"/>
    <x v="365"/>
    <x v="2"/>
  </r>
  <r>
    <x v="0"/>
    <x v="52"/>
    <x v="52"/>
    <x v="12"/>
    <x v="12"/>
    <x v="12"/>
    <x v="12"/>
    <x v="195"/>
    <x v="30"/>
    <x v="52"/>
    <x v="113"/>
    <x v="69"/>
    <x v="299"/>
    <x v="2"/>
  </r>
  <r>
    <x v="0"/>
    <x v="52"/>
    <x v="52"/>
    <x v="1"/>
    <x v="1"/>
    <x v="1"/>
    <x v="12"/>
    <x v="195"/>
    <x v="30"/>
    <x v="30"/>
    <x v="130"/>
    <x v="54"/>
    <x v="126"/>
    <x v="2"/>
  </r>
  <r>
    <x v="0"/>
    <x v="52"/>
    <x v="52"/>
    <x v="4"/>
    <x v="4"/>
    <x v="4"/>
    <x v="12"/>
    <x v="195"/>
    <x v="30"/>
    <x v="31"/>
    <x v="73"/>
    <x v="132"/>
    <x v="188"/>
    <x v="2"/>
  </r>
  <r>
    <x v="0"/>
    <x v="52"/>
    <x v="52"/>
    <x v="10"/>
    <x v="10"/>
    <x v="10"/>
    <x v="17"/>
    <x v="196"/>
    <x v="120"/>
    <x v="53"/>
    <x v="57"/>
    <x v="74"/>
    <x v="357"/>
    <x v="2"/>
  </r>
  <r>
    <x v="0"/>
    <x v="52"/>
    <x v="52"/>
    <x v="19"/>
    <x v="19"/>
    <x v="19"/>
    <x v="17"/>
    <x v="196"/>
    <x v="120"/>
    <x v="53"/>
    <x v="57"/>
    <x v="74"/>
    <x v="357"/>
    <x v="2"/>
  </r>
  <r>
    <x v="0"/>
    <x v="52"/>
    <x v="52"/>
    <x v="39"/>
    <x v="39"/>
    <x v="39"/>
    <x v="17"/>
    <x v="196"/>
    <x v="120"/>
    <x v="52"/>
    <x v="113"/>
    <x v="54"/>
    <x v="126"/>
    <x v="2"/>
  </r>
  <r>
    <x v="0"/>
    <x v="52"/>
    <x v="52"/>
    <x v="79"/>
    <x v="79"/>
    <x v="79"/>
    <x v="17"/>
    <x v="196"/>
    <x v="120"/>
    <x v="33"/>
    <x v="132"/>
    <x v="132"/>
    <x v="188"/>
    <x v="2"/>
  </r>
  <r>
    <x v="0"/>
    <x v="52"/>
    <x v="52"/>
    <x v="21"/>
    <x v="21"/>
    <x v="21"/>
    <x v="17"/>
    <x v="196"/>
    <x v="120"/>
    <x v="33"/>
    <x v="132"/>
    <x v="132"/>
    <x v="188"/>
    <x v="2"/>
  </r>
  <r>
    <x v="0"/>
    <x v="52"/>
    <x v="52"/>
    <x v="20"/>
    <x v="20"/>
    <x v="20"/>
    <x v="17"/>
    <x v="196"/>
    <x v="120"/>
    <x v="48"/>
    <x v="300"/>
    <x v="69"/>
    <x v="299"/>
    <x v="2"/>
  </r>
  <r>
    <x v="0"/>
    <x v="53"/>
    <x v="53"/>
    <x v="0"/>
    <x v="0"/>
    <x v="0"/>
    <x v="0"/>
    <x v="176"/>
    <x v="328"/>
    <x v="42"/>
    <x v="512"/>
    <x v="132"/>
    <x v="188"/>
    <x v="2"/>
  </r>
  <r>
    <x v="0"/>
    <x v="53"/>
    <x v="53"/>
    <x v="11"/>
    <x v="11"/>
    <x v="11"/>
    <x v="1"/>
    <x v="193"/>
    <x v="329"/>
    <x v="33"/>
    <x v="513"/>
    <x v="69"/>
    <x v="367"/>
    <x v="2"/>
  </r>
  <r>
    <x v="0"/>
    <x v="53"/>
    <x v="53"/>
    <x v="2"/>
    <x v="2"/>
    <x v="2"/>
    <x v="2"/>
    <x v="194"/>
    <x v="330"/>
    <x v="80"/>
    <x v="514"/>
    <x v="132"/>
    <x v="188"/>
    <x v="2"/>
  </r>
  <r>
    <x v="0"/>
    <x v="53"/>
    <x v="53"/>
    <x v="9"/>
    <x v="9"/>
    <x v="9"/>
    <x v="3"/>
    <x v="195"/>
    <x v="331"/>
    <x v="30"/>
    <x v="186"/>
    <x v="54"/>
    <x v="368"/>
    <x v="2"/>
  </r>
  <r>
    <x v="0"/>
    <x v="53"/>
    <x v="53"/>
    <x v="10"/>
    <x v="10"/>
    <x v="10"/>
    <x v="4"/>
    <x v="196"/>
    <x v="332"/>
    <x v="53"/>
    <x v="57"/>
    <x v="74"/>
    <x v="369"/>
    <x v="2"/>
  </r>
  <r>
    <x v="0"/>
    <x v="53"/>
    <x v="53"/>
    <x v="4"/>
    <x v="4"/>
    <x v="4"/>
    <x v="4"/>
    <x v="196"/>
    <x v="332"/>
    <x v="33"/>
    <x v="513"/>
    <x v="132"/>
    <x v="188"/>
    <x v="2"/>
  </r>
  <r>
    <x v="0"/>
    <x v="53"/>
    <x v="53"/>
    <x v="13"/>
    <x v="13"/>
    <x v="13"/>
    <x v="4"/>
    <x v="196"/>
    <x v="332"/>
    <x v="33"/>
    <x v="513"/>
    <x v="132"/>
    <x v="188"/>
    <x v="2"/>
  </r>
  <r>
    <x v="0"/>
    <x v="53"/>
    <x v="53"/>
    <x v="49"/>
    <x v="49"/>
    <x v="49"/>
    <x v="7"/>
    <x v="197"/>
    <x v="101"/>
    <x v="52"/>
    <x v="515"/>
    <x v="90"/>
    <x v="157"/>
    <x v="2"/>
  </r>
  <r>
    <x v="0"/>
    <x v="53"/>
    <x v="53"/>
    <x v="28"/>
    <x v="28"/>
    <x v="28"/>
    <x v="7"/>
    <x v="197"/>
    <x v="101"/>
    <x v="52"/>
    <x v="515"/>
    <x v="90"/>
    <x v="157"/>
    <x v="2"/>
  </r>
  <r>
    <x v="0"/>
    <x v="53"/>
    <x v="53"/>
    <x v="8"/>
    <x v="8"/>
    <x v="8"/>
    <x v="9"/>
    <x v="198"/>
    <x v="255"/>
    <x v="59"/>
    <x v="415"/>
    <x v="54"/>
    <x v="368"/>
    <x v="2"/>
  </r>
  <r>
    <x v="0"/>
    <x v="53"/>
    <x v="53"/>
    <x v="37"/>
    <x v="37"/>
    <x v="37"/>
    <x v="9"/>
    <x v="198"/>
    <x v="255"/>
    <x v="53"/>
    <x v="57"/>
    <x v="69"/>
    <x v="367"/>
    <x v="2"/>
  </r>
  <r>
    <x v="0"/>
    <x v="53"/>
    <x v="53"/>
    <x v="80"/>
    <x v="80"/>
    <x v="80"/>
    <x v="9"/>
    <x v="198"/>
    <x v="255"/>
    <x v="48"/>
    <x v="371"/>
    <x v="90"/>
    <x v="157"/>
    <x v="2"/>
  </r>
  <r>
    <x v="0"/>
    <x v="53"/>
    <x v="53"/>
    <x v="14"/>
    <x v="14"/>
    <x v="14"/>
    <x v="9"/>
    <x v="198"/>
    <x v="255"/>
    <x v="59"/>
    <x v="415"/>
    <x v="54"/>
    <x v="368"/>
    <x v="2"/>
  </r>
  <r>
    <x v="0"/>
    <x v="53"/>
    <x v="53"/>
    <x v="71"/>
    <x v="71"/>
    <x v="71"/>
    <x v="9"/>
    <x v="198"/>
    <x v="255"/>
    <x v="52"/>
    <x v="515"/>
    <x v="132"/>
    <x v="188"/>
    <x v="2"/>
  </r>
  <r>
    <x v="0"/>
    <x v="53"/>
    <x v="53"/>
    <x v="6"/>
    <x v="6"/>
    <x v="6"/>
    <x v="9"/>
    <x v="198"/>
    <x v="255"/>
    <x v="59"/>
    <x v="415"/>
    <x v="54"/>
    <x v="368"/>
    <x v="2"/>
  </r>
  <r>
    <x v="0"/>
    <x v="53"/>
    <x v="53"/>
    <x v="17"/>
    <x v="17"/>
    <x v="17"/>
    <x v="15"/>
    <x v="199"/>
    <x v="95"/>
    <x v="53"/>
    <x v="57"/>
    <x v="54"/>
    <x v="368"/>
    <x v="2"/>
  </r>
  <r>
    <x v="0"/>
    <x v="53"/>
    <x v="53"/>
    <x v="26"/>
    <x v="26"/>
    <x v="26"/>
    <x v="15"/>
    <x v="199"/>
    <x v="95"/>
    <x v="53"/>
    <x v="57"/>
    <x v="54"/>
    <x v="368"/>
    <x v="2"/>
  </r>
  <r>
    <x v="0"/>
    <x v="53"/>
    <x v="53"/>
    <x v="81"/>
    <x v="81"/>
    <x v="81"/>
    <x v="15"/>
    <x v="199"/>
    <x v="95"/>
    <x v="53"/>
    <x v="57"/>
    <x v="54"/>
    <x v="368"/>
    <x v="2"/>
  </r>
  <r>
    <x v="0"/>
    <x v="53"/>
    <x v="53"/>
    <x v="82"/>
    <x v="82"/>
    <x v="82"/>
    <x v="15"/>
    <x v="199"/>
    <x v="95"/>
    <x v="59"/>
    <x v="415"/>
    <x v="90"/>
    <x v="157"/>
    <x v="2"/>
  </r>
  <r>
    <x v="0"/>
    <x v="53"/>
    <x v="53"/>
    <x v="43"/>
    <x v="43"/>
    <x v="43"/>
    <x v="15"/>
    <x v="199"/>
    <x v="95"/>
    <x v="48"/>
    <x v="371"/>
    <x v="132"/>
    <x v="188"/>
    <x v="2"/>
  </r>
  <r>
    <x v="0"/>
    <x v="53"/>
    <x v="53"/>
    <x v="39"/>
    <x v="39"/>
    <x v="39"/>
    <x v="15"/>
    <x v="199"/>
    <x v="95"/>
    <x v="48"/>
    <x v="371"/>
    <x v="132"/>
    <x v="188"/>
    <x v="2"/>
  </r>
  <r>
    <x v="0"/>
    <x v="53"/>
    <x v="53"/>
    <x v="7"/>
    <x v="7"/>
    <x v="7"/>
    <x v="15"/>
    <x v="199"/>
    <x v="95"/>
    <x v="48"/>
    <x v="371"/>
    <x v="132"/>
    <x v="188"/>
    <x v="2"/>
  </r>
  <r>
    <x v="0"/>
    <x v="53"/>
    <x v="53"/>
    <x v="18"/>
    <x v="18"/>
    <x v="18"/>
    <x v="15"/>
    <x v="199"/>
    <x v="95"/>
    <x v="53"/>
    <x v="57"/>
    <x v="54"/>
    <x v="368"/>
    <x v="2"/>
  </r>
  <r>
    <x v="0"/>
    <x v="54"/>
    <x v="54"/>
    <x v="13"/>
    <x v="13"/>
    <x v="13"/>
    <x v="0"/>
    <x v="104"/>
    <x v="333"/>
    <x v="70"/>
    <x v="516"/>
    <x v="54"/>
    <x v="157"/>
    <x v="2"/>
  </r>
  <r>
    <x v="0"/>
    <x v="54"/>
    <x v="54"/>
    <x v="10"/>
    <x v="10"/>
    <x v="10"/>
    <x v="1"/>
    <x v="103"/>
    <x v="334"/>
    <x v="48"/>
    <x v="441"/>
    <x v="73"/>
    <x v="370"/>
    <x v="2"/>
  </r>
  <r>
    <x v="0"/>
    <x v="54"/>
    <x v="54"/>
    <x v="0"/>
    <x v="0"/>
    <x v="0"/>
    <x v="2"/>
    <x v="172"/>
    <x v="335"/>
    <x v="87"/>
    <x v="517"/>
    <x v="90"/>
    <x v="153"/>
    <x v="2"/>
  </r>
  <r>
    <x v="0"/>
    <x v="54"/>
    <x v="54"/>
    <x v="4"/>
    <x v="4"/>
    <x v="4"/>
    <x v="3"/>
    <x v="174"/>
    <x v="336"/>
    <x v="60"/>
    <x v="518"/>
    <x v="132"/>
    <x v="188"/>
    <x v="2"/>
  </r>
  <r>
    <x v="0"/>
    <x v="54"/>
    <x v="54"/>
    <x v="8"/>
    <x v="8"/>
    <x v="8"/>
    <x v="4"/>
    <x v="176"/>
    <x v="337"/>
    <x v="52"/>
    <x v="226"/>
    <x v="120"/>
    <x v="367"/>
    <x v="2"/>
  </r>
  <r>
    <x v="0"/>
    <x v="54"/>
    <x v="54"/>
    <x v="3"/>
    <x v="3"/>
    <x v="3"/>
    <x v="5"/>
    <x v="193"/>
    <x v="148"/>
    <x v="27"/>
    <x v="519"/>
    <x v="132"/>
    <x v="188"/>
    <x v="2"/>
  </r>
  <r>
    <x v="0"/>
    <x v="54"/>
    <x v="54"/>
    <x v="2"/>
    <x v="2"/>
    <x v="2"/>
    <x v="5"/>
    <x v="193"/>
    <x v="148"/>
    <x v="27"/>
    <x v="519"/>
    <x v="132"/>
    <x v="188"/>
    <x v="2"/>
  </r>
  <r>
    <x v="0"/>
    <x v="54"/>
    <x v="54"/>
    <x v="11"/>
    <x v="11"/>
    <x v="11"/>
    <x v="7"/>
    <x v="194"/>
    <x v="140"/>
    <x v="30"/>
    <x v="520"/>
    <x v="69"/>
    <x v="151"/>
    <x v="2"/>
  </r>
  <r>
    <x v="0"/>
    <x v="54"/>
    <x v="54"/>
    <x v="19"/>
    <x v="19"/>
    <x v="19"/>
    <x v="8"/>
    <x v="195"/>
    <x v="230"/>
    <x v="48"/>
    <x v="441"/>
    <x v="65"/>
    <x v="368"/>
    <x v="2"/>
  </r>
  <r>
    <x v="0"/>
    <x v="54"/>
    <x v="54"/>
    <x v="25"/>
    <x v="25"/>
    <x v="25"/>
    <x v="8"/>
    <x v="195"/>
    <x v="230"/>
    <x v="53"/>
    <x v="57"/>
    <x v="120"/>
    <x v="367"/>
    <x v="2"/>
  </r>
  <r>
    <x v="0"/>
    <x v="54"/>
    <x v="54"/>
    <x v="46"/>
    <x v="46"/>
    <x v="46"/>
    <x v="8"/>
    <x v="195"/>
    <x v="230"/>
    <x v="52"/>
    <x v="226"/>
    <x v="69"/>
    <x v="151"/>
    <x v="2"/>
  </r>
  <r>
    <x v="0"/>
    <x v="54"/>
    <x v="54"/>
    <x v="29"/>
    <x v="29"/>
    <x v="29"/>
    <x v="8"/>
    <x v="195"/>
    <x v="230"/>
    <x v="30"/>
    <x v="520"/>
    <x v="54"/>
    <x v="157"/>
    <x v="2"/>
  </r>
  <r>
    <x v="0"/>
    <x v="54"/>
    <x v="54"/>
    <x v="48"/>
    <x v="48"/>
    <x v="48"/>
    <x v="12"/>
    <x v="196"/>
    <x v="104"/>
    <x v="52"/>
    <x v="226"/>
    <x v="54"/>
    <x v="157"/>
    <x v="2"/>
  </r>
  <r>
    <x v="0"/>
    <x v="54"/>
    <x v="54"/>
    <x v="9"/>
    <x v="9"/>
    <x v="9"/>
    <x v="12"/>
    <x v="196"/>
    <x v="104"/>
    <x v="53"/>
    <x v="57"/>
    <x v="74"/>
    <x v="371"/>
    <x v="2"/>
  </r>
  <r>
    <x v="0"/>
    <x v="54"/>
    <x v="54"/>
    <x v="5"/>
    <x v="5"/>
    <x v="5"/>
    <x v="12"/>
    <x v="196"/>
    <x v="104"/>
    <x v="30"/>
    <x v="520"/>
    <x v="90"/>
    <x v="153"/>
    <x v="2"/>
  </r>
  <r>
    <x v="0"/>
    <x v="54"/>
    <x v="54"/>
    <x v="49"/>
    <x v="49"/>
    <x v="49"/>
    <x v="15"/>
    <x v="197"/>
    <x v="68"/>
    <x v="52"/>
    <x v="226"/>
    <x v="90"/>
    <x v="153"/>
    <x v="2"/>
  </r>
  <r>
    <x v="0"/>
    <x v="54"/>
    <x v="54"/>
    <x v="12"/>
    <x v="12"/>
    <x v="12"/>
    <x v="15"/>
    <x v="197"/>
    <x v="68"/>
    <x v="48"/>
    <x v="441"/>
    <x v="54"/>
    <x v="157"/>
    <x v="2"/>
  </r>
  <r>
    <x v="0"/>
    <x v="54"/>
    <x v="54"/>
    <x v="56"/>
    <x v="56"/>
    <x v="56"/>
    <x v="15"/>
    <x v="197"/>
    <x v="68"/>
    <x v="52"/>
    <x v="226"/>
    <x v="90"/>
    <x v="153"/>
    <x v="2"/>
  </r>
  <r>
    <x v="0"/>
    <x v="54"/>
    <x v="54"/>
    <x v="61"/>
    <x v="61"/>
    <x v="61"/>
    <x v="18"/>
    <x v="198"/>
    <x v="273"/>
    <x v="48"/>
    <x v="441"/>
    <x v="90"/>
    <x v="153"/>
    <x v="2"/>
  </r>
  <r>
    <x v="0"/>
    <x v="54"/>
    <x v="54"/>
    <x v="27"/>
    <x v="27"/>
    <x v="27"/>
    <x v="18"/>
    <x v="198"/>
    <x v="273"/>
    <x v="48"/>
    <x v="441"/>
    <x v="90"/>
    <x v="153"/>
    <x v="2"/>
  </r>
  <r>
    <x v="0"/>
    <x v="54"/>
    <x v="54"/>
    <x v="83"/>
    <x v="83"/>
    <x v="83"/>
    <x v="18"/>
    <x v="198"/>
    <x v="273"/>
    <x v="53"/>
    <x v="57"/>
    <x v="69"/>
    <x v="151"/>
    <x v="2"/>
  </r>
  <r>
    <x v="0"/>
    <x v="54"/>
    <x v="54"/>
    <x v="30"/>
    <x v="30"/>
    <x v="30"/>
    <x v="18"/>
    <x v="198"/>
    <x v="273"/>
    <x v="52"/>
    <x v="226"/>
    <x v="132"/>
    <x v="188"/>
    <x v="2"/>
  </r>
  <r>
    <x v="0"/>
    <x v="54"/>
    <x v="54"/>
    <x v="84"/>
    <x v="84"/>
    <x v="84"/>
    <x v="18"/>
    <x v="198"/>
    <x v="273"/>
    <x v="48"/>
    <x v="441"/>
    <x v="132"/>
    <x v="188"/>
    <x v="0"/>
  </r>
  <r>
    <x v="0"/>
    <x v="54"/>
    <x v="54"/>
    <x v="14"/>
    <x v="14"/>
    <x v="14"/>
    <x v="18"/>
    <x v="198"/>
    <x v="273"/>
    <x v="48"/>
    <x v="441"/>
    <x v="90"/>
    <x v="153"/>
    <x v="2"/>
  </r>
  <r>
    <x v="0"/>
    <x v="54"/>
    <x v="54"/>
    <x v="6"/>
    <x v="6"/>
    <x v="6"/>
    <x v="18"/>
    <x v="198"/>
    <x v="273"/>
    <x v="52"/>
    <x v="226"/>
    <x v="132"/>
    <x v="188"/>
    <x v="2"/>
  </r>
  <r>
    <x v="0"/>
    <x v="54"/>
    <x v="54"/>
    <x v="20"/>
    <x v="20"/>
    <x v="20"/>
    <x v="18"/>
    <x v="198"/>
    <x v="273"/>
    <x v="48"/>
    <x v="441"/>
    <x v="90"/>
    <x v="153"/>
    <x v="2"/>
  </r>
  <r>
    <x v="0"/>
    <x v="55"/>
    <x v="55"/>
    <x v="0"/>
    <x v="0"/>
    <x v="0"/>
    <x v="0"/>
    <x v="173"/>
    <x v="338"/>
    <x v="98"/>
    <x v="521"/>
    <x v="132"/>
    <x v="188"/>
    <x v="2"/>
  </r>
  <r>
    <x v="0"/>
    <x v="55"/>
    <x v="55"/>
    <x v="2"/>
    <x v="2"/>
    <x v="2"/>
    <x v="1"/>
    <x v="174"/>
    <x v="339"/>
    <x v="60"/>
    <x v="522"/>
    <x v="132"/>
    <x v="188"/>
    <x v="2"/>
  </r>
  <r>
    <x v="0"/>
    <x v="55"/>
    <x v="55"/>
    <x v="3"/>
    <x v="3"/>
    <x v="3"/>
    <x v="2"/>
    <x v="175"/>
    <x v="340"/>
    <x v="31"/>
    <x v="523"/>
    <x v="65"/>
    <x v="183"/>
    <x v="2"/>
  </r>
  <r>
    <x v="0"/>
    <x v="55"/>
    <x v="55"/>
    <x v="46"/>
    <x v="46"/>
    <x v="46"/>
    <x v="3"/>
    <x v="193"/>
    <x v="341"/>
    <x v="31"/>
    <x v="523"/>
    <x v="54"/>
    <x v="68"/>
    <x v="2"/>
  </r>
  <r>
    <x v="0"/>
    <x v="55"/>
    <x v="55"/>
    <x v="12"/>
    <x v="12"/>
    <x v="12"/>
    <x v="4"/>
    <x v="194"/>
    <x v="197"/>
    <x v="30"/>
    <x v="364"/>
    <x v="69"/>
    <x v="99"/>
    <x v="2"/>
  </r>
  <r>
    <x v="0"/>
    <x v="55"/>
    <x v="55"/>
    <x v="10"/>
    <x v="10"/>
    <x v="10"/>
    <x v="5"/>
    <x v="195"/>
    <x v="90"/>
    <x v="53"/>
    <x v="57"/>
    <x v="120"/>
    <x v="372"/>
    <x v="2"/>
  </r>
  <r>
    <x v="0"/>
    <x v="55"/>
    <x v="55"/>
    <x v="21"/>
    <x v="21"/>
    <x v="21"/>
    <x v="5"/>
    <x v="195"/>
    <x v="90"/>
    <x v="30"/>
    <x v="364"/>
    <x v="54"/>
    <x v="68"/>
    <x v="2"/>
  </r>
  <r>
    <x v="0"/>
    <x v="55"/>
    <x v="55"/>
    <x v="11"/>
    <x v="11"/>
    <x v="11"/>
    <x v="7"/>
    <x v="196"/>
    <x v="172"/>
    <x v="52"/>
    <x v="148"/>
    <x v="54"/>
    <x v="68"/>
    <x v="2"/>
  </r>
  <r>
    <x v="0"/>
    <x v="55"/>
    <x v="55"/>
    <x v="48"/>
    <x v="48"/>
    <x v="48"/>
    <x v="7"/>
    <x v="196"/>
    <x v="172"/>
    <x v="48"/>
    <x v="365"/>
    <x v="69"/>
    <x v="99"/>
    <x v="2"/>
  </r>
  <r>
    <x v="0"/>
    <x v="55"/>
    <x v="55"/>
    <x v="8"/>
    <x v="8"/>
    <x v="8"/>
    <x v="7"/>
    <x v="196"/>
    <x v="172"/>
    <x v="52"/>
    <x v="148"/>
    <x v="54"/>
    <x v="68"/>
    <x v="2"/>
  </r>
  <r>
    <x v="0"/>
    <x v="55"/>
    <x v="55"/>
    <x v="9"/>
    <x v="9"/>
    <x v="9"/>
    <x v="7"/>
    <x v="196"/>
    <x v="172"/>
    <x v="48"/>
    <x v="365"/>
    <x v="69"/>
    <x v="99"/>
    <x v="2"/>
  </r>
  <r>
    <x v="0"/>
    <x v="55"/>
    <x v="55"/>
    <x v="14"/>
    <x v="14"/>
    <x v="14"/>
    <x v="7"/>
    <x v="196"/>
    <x v="172"/>
    <x v="30"/>
    <x v="364"/>
    <x v="90"/>
    <x v="80"/>
    <x v="2"/>
  </r>
  <r>
    <x v="0"/>
    <x v="55"/>
    <x v="55"/>
    <x v="4"/>
    <x v="4"/>
    <x v="4"/>
    <x v="7"/>
    <x v="196"/>
    <x v="172"/>
    <x v="33"/>
    <x v="372"/>
    <x v="132"/>
    <x v="188"/>
    <x v="2"/>
  </r>
  <r>
    <x v="0"/>
    <x v="55"/>
    <x v="55"/>
    <x v="17"/>
    <x v="17"/>
    <x v="17"/>
    <x v="13"/>
    <x v="197"/>
    <x v="117"/>
    <x v="53"/>
    <x v="57"/>
    <x v="65"/>
    <x v="183"/>
    <x v="2"/>
  </r>
  <r>
    <x v="0"/>
    <x v="55"/>
    <x v="55"/>
    <x v="7"/>
    <x v="7"/>
    <x v="7"/>
    <x v="13"/>
    <x v="197"/>
    <x v="117"/>
    <x v="52"/>
    <x v="148"/>
    <x v="90"/>
    <x v="80"/>
    <x v="2"/>
  </r>
  <r>
    <x v="0"/>
    <x v="55"/>
    <x v="55"/>
    <x v="13"/>
    <x v="13"/>
    <x v="13"/>
    <x v="13"/>
    <x v="197"/>
    <x v="117"/>
    <x v="48"/>
    <x v="365"/>
    <x v="54"/>
    <x v="68"/>
    <x v="2"/>
  </r>
  <r>
    <x v="0"/>
    <x v="55"/>
    <x v="55"/>
    <x v="49"/>
    <x v="49"/>
    <x v="49"/>
    <x v="16"/>
    <x v="198"/>
    <x v="96"/>
    <x v="59"/>
    <x v="8"/>
    <x v="54"/>
    <x v="68"/>
    <x v="2"/>
  </r>
  <r>
    <x v="0"/>
    <x v="55"/>
    <x v="55"/>
    <x v="28"/>
    <x v="28"/>
    <x v="28"/>
    <x v="16"/>
    <x v="198"/>
    <x v="96"/>
    <x v="53"/>
    <x v="57"/>
    <x v="69"/>
    <x v="99"/>
    <x v="2"/>
  </r>
  <r>
    <x v="0"/>
    <x v="55"/>
    <x v="55"/>
    <x v="26"/>
    <x v="26"/>
    <x v="26"/>
    <x v="16"/>
    <x v="198"/>
    <x v="96"/>
    <x v="48"/>
    <x v="365"/>
    <x v="90"/>
    <x v="80"/>
    <x v="2"/>
  </r>
  <r>
    <x v="0"/>
    <x v="55"/>
    <x v="55"/>
    <x v="41"/>
    <x v="41"/>
    <x v="41"/>
    <x v="16"/>
    <x v="198"/>
    <x v="96"/>
    <x v="59"/>
    <x v="8"/>
    <x v="54"/>
    <x v="68"/>
    <x v="2"/>
  </r>
  <r>
    <x v="0"/>
    <x v="55"/>
    <x v="55"/>
    <x v="85"/>
    <x v="85"/>
    <x v="85"/>
    <x v="16"/>
    <x v="198"/>
    <x v="96"/>
    <x v="59"/>
    <x v="8"/>
    <x v="54"/>
    <x v="68"/>
    <x v="2"/>
  </r>
  <r>
    <x v="0"/>
    <x v="55"/>
    <x v="55"/>
    <x v="55"/>
    <x v="55"/>
    <x v="55"/>
    <x v="16"/>
    <x v="198"/>
    <x v="96"/>
    <x v="53"/>
    <x v="57"/>
    <x v="69"/>
    <x v="99"/>
    <x v="2"/>
  </r>
  <r>
    <x v="0"/>
    <x v="55"/>
    <x v="55"/>
    <x v="30"/>
    <x v="30"/>
    <x v="30"/>
    <x v="16"/>
    <x v="198"/>
    <x v="96"/>
    <x v="48"/>
    <x v="365"/>
    <x v="90"/>
    <x v="80"/>
    <x v="2"/>
  </r>
  <r>
    <x v="0"/>
    <x v="55"/>
    <x v="55"/>
    <x v="56"/>
    <x v="56"/>
    <x v="56"/>
    <x v="16"/>
    <x v="198"/>
    <x v="96"/>
    <x v="48"/>
    <x v="365"/>
    <x v="90"/>
    <x v="80"/>
    <x v="2"/>
  </r>
  <r>
    <x v="0"/>
    <x v="55"/>
    <x v="55"/>
    <x v="40"/>
    <x v="40"/>
    <x v="40"/>
    <x v="16"/>
    <x v="198"/>
    <x v="96"/>
    <x v="53"/>
    <x v="57"/>
    <x v="69"/>
    <x v="99"/>
    <x v="2"/>
  </r>
  <r>
    <x v="0"/>
    <x v="55"/>
    <x v="55"/>
    <x v="45"/>
    <x v="45"/>
    <x v="45"/>
    <x v="16"/>
    <x v="198"/>
    <x v="96"/>
    <x v="52"/>
    <x v="148"/>
    <x v="132"/>
    <x v="188"/>
    <x v="2"/>
  </r>
  <r>
    <x v="0"/>
    <x v="55"/>
    <x v="55"/>
    <x v="5"/>
    <x v="5"/>
    <x v="5"/>
    <x v="16"/>
    <x v="198"/>
    <x v="96"/>
    <x v="48"/>
    <x v="365"/>
    <x v="90"/>
    <x v="80"/>
    <x v="2"/>
  </r>
  <r>
    <x v="0"/>
    <x v="55"/>
    <x v="55"/>
    <x v="38"/>
    <x v="38"/>
    <x v="38"/>
    <x v="16"/>
    <x v="198"/>
    <x v="96"/>
    <x v="53"/>
    <x v="57"/>
    <x v="69"/>
    <x v="99"/>
    <x v="2"/>
  </r>
  <r>
    <x v="0"/>
    <x v="56"/>
    <x v="56"/>
    <x v="42"/>
    <x v="42"/>
    <x v="42"/>
    <x v="0"/>
    <x v="176"/>
    <x v="219"/>
    <x v="80"/>
    <x v="524"/>
    <x v="54"/>
    <x v="373"/>
    <x v="2"/>
  </r>
  <r>
    <x v="0"/>
    <x v="56"/>
    <x v="56"/>
    <x v="10"/>
    <x v="10"/>
    <x v="10"/>
    <x v="1"/>
    <x v="194"/>
    <x v="336"/>
    <x v="48"/>
    <x v="153"/>
    <x v="74"/>
    <x v="374"/>
    <x v="2"/>
  </r>
  <r>
    <x v="0"/>
    <x v="56"/>
    <x v="56"/>
    <x v="9"/>
    <x v="9"/>
    <x v="9"/>
    <x v="2"/>
    <x v="195"/>
    <x v="342"/>
    <x v="53"/>
    <x v="57"/>
    <x v="120"/>
    <x v="375"/>
    <x v="2"/>
  </r>
  <r>
    <x v="0"/>
    <x v="56"/>
    <x v="56"/>
    <x v="2"/>
    <x v="2"/>
    <x v="2"/>
    <x v="2"/>
    <x v="195"/>
    <x v="342"/>
    <x v="31"/>
    <x v="525"/>
    <x v="132"/>
    <x v="188"/>
    <x v="2"/>
  </r>
  <r>
    <x v="0"/>
    <x v="56"/>
    <x v="56"/>
    <x v="0"/>
    <x v="0"/>
    <x v="0"/>
    <x v="2"/>
    <x v="195"/>
    <x v="342"/>
    <x v="31"/>
    <x v="525"/>
    <x v="132"/>
    <x v="188"/>
    <x v="2"/>
  </r>
  <r>
    <x v="0"/>
    <x v="56"/>
    <x v="56"/>
    <x v="13"/>
    <x v="13"/>
    <x v="13"/>
    <x v="2"/>
    <x v="195"/>
    <x v="342"/>
    <x v="30"/>
    <x v="526"/>
    <x v="54"/>
    <x v="373"/>
    <x v="2"/>
  </r>
  <r>
    <x v="0"/>
    <x v="56"/>
    <x v="56"/>
    <x v="11"/>
    <x v="11"/>
    <x v="11"/>
    <x v="6"/>
    <x v="197"/>
    <x v="272"/>
    <x v="48"/>
    <x v="153"/>
    <x v="54"/>
    <x v="373"/>
    <x v="2"/>
  </r>
  <r>
    <x v="0"/>
    <x v="56"/>
    <x v="56"/>
    <x v="17"/>
    <x v="17"/>
    <x v="17"/>
    <x v="7"/>
    <x v="198"/>
    <x v="225"/>
    <x v="59"/>
    <x v="527"/>
    <x v="54"/>
    <x v="373"/>
    <x v="2"/>
  </r>
  <r>
    <x v="0"/>
    <x v="56"/>
    <x v="56"/>
    <x v="8"/>
    <x v="8"/>
    <x v="8"/>
    <x v="7"/>
    <x v="198"/>
    <x v="225"/>
    <x v="59"/>
    <x v="527"/>
    <x v="54"/>
    <x v="373"/>
    <x v="2"/>
  </r>
  <r>
    <x v="0"/>
    <x v="56"/>
    <x v="56"/>
    <x v="55"/>
    <x v="55"/>
    <x v="55"/>
    <x v="7"/>
    <x v="198"/>
    <x v="225"/>
    <x v="53"/>
    <x v="57"/>
    <x v="69"/>
    <x v="376"/>
    <x v="2"/>
  </r>
  <r>
    <x v="0"/>
    <x v="56"/>
    <x v="56"/>
    <x v="86"/>
    <x v="86"/>
    <x v="86"/>
    <x v="7"/>
    <x v="198"/>
    <x v="225"/>
    <x v="59"/>
    <x v="527"/>
    <x v="54"/>
    <x v="373"/>
    <x v="2"/>
  </r>
  <r>
    <x v="0"/>
    <x v="56"/>
    <x v="56"/>
    <x v="12"/>
    <x v="12"/>
    <x v="12"/>
    <x v="7"/>
    <x v="198"/>
    <x v="225"/>
    <x v="59"/>
    <x v="527"/>
    <x v="54"/>
    <x v="373"/>
    <x v="2"/>
  </r>
  <r>
    <x v="0"/>
    <x v="56"/>
    <x v="56"/>
    <x v="7"/>
    <x v="7"/>
    <x v="7"/>
    <x v="7"/>
    <x v="198"/>
    <x v="225"/>
    <x v="52"/>
    <x v="528"/>
    <x v="132"/>
    <x v="188"/>
    <x v="2"/>
  </r>
  <r>
    <x v="0"/>
    <x v="56"/>
    <x v="56"/>
    <x v="1"/>
    <x v="1"/>
    <x v="1"/>
    <x v="7"/>
    <x v="198"/>
    <x v="225"/>
    <x v="59"/>
    <x v="527"/>
    <x v="54"/>
    <x v="373"/>
    <x v="2"/>
  </r>
  <r>
    <x v="0"/>
    <x v="56"/>
    <x v="56"/>
    <x v="4"/>
    <x v="4"/>
    <x v="4"/>
    <x v="7"/>
    <x v="198"/>
    <x v="225"/>
    <x v="52"/>
    <x v="528"/>
    <x v="132"/>
    <x v="188"/>
    <x v="2"/>
  </r>
  <r>
    <x v="0"/>
    <x v="56"/>
    <x v="56"/>
    <x v="38"/>
    <x v="38"/>
    <x v="38"/>
    <x v="7"/>
    <x v="198"/>
    <x v="225"/>
    <x v="53"/>
    <x v="57"/>
    <x v="69"/>
    <x v="376"/>
    <x v="2"/>
  </r>
  <r>
    <x v="0"/>
    <x v="56"/>
    <x v="56"/>
    <x v="19"/>
    <x v="19"/>
    <x v="19"/>
    <x v="16"/>
    <x v="199"/>
    <x v="48"/>
    <x v="48"/>
    <x v="153"/>
    <x v="132"/>
    <x v="188"/>
    <x v="2"/>
  </r>
  <r>
    <x v="0"/>
    <x v="56"/>
    <x v="56"/>
    <x v="49"/>
    <x v="49"/>
    <x v="49"/>
    <x v="16"/>
    <x v="199"/>
    <x v="48"/>
    <x v="59"/>
    <x v="527"/>
    <x v="90"/>
    <x v="279"/>
    <x v="2"/>
  </r>
  <r>
    <x v="0"/>
    <x v="56"/>
    <x v="56"/>
    <x v="87"/>
    <x v="87"/>
    <x v="87"/>
    <x v="16"/>
    <x v="199"/>
    <x v="48"/>
    <x v="53"/>
    <x v="57"/>
    <x v="54"/>
    <x v="373"/>
    <x v="2"/>
  </r>
  <r>
    <x v="0"/>
    <x v="56"/>
    <x v="56"/>
    <x v="88"/>
    <x v="88"/>
    <x v="88"/>
    <x v="16"/>
    <x v="199"/>
    <x v="48"/>
    <x v="53"/>
    <x v="57"/>
    <x v="54"/>
    <x v="373"/>
    <x v="2"/>
  </r>
  <r>
    <x v="0"/>
    <x v="56"/>
    <x v="56"/>
    <x v="89"/>
    <x v="89"/>
    <x v="89"/>
    <x v="16"/>
    <x v="199"/>
    <x v="48"/>
    <x v="53"/>
    <x v="57"/>
    <x v="54"/>
    <x v="373"/>
    <x v="2"/>
  </r>
  <r>
    <x v="0"/>
    <x v="56"/>
    <x v="56"/>
    <x v="90"/>
    <x v="90"/>
    <x v="90"/>
    <x v="16"/>
    <x v="199"/>
    <x v="48"/>
    <x v="59"/>
    <x v="527"/>
    <x v="90"/>
    <x v="279"/>
    <x v="2"/>
  </r>
  <r>
    <x v="0"/>
    <x v="56"/>
    <x v="56"/>
    <x v="91"/>
    <x v="91"/>
    <x v="91"/>
    <x v="16"/>
    <x v="199"/>
    <x v="48"/>
    <x v="59"/>
    <x v="527"/>
    <x v="90"/>
    <x v="279"/>
    <x v="2"/>
  </r>
  <r>
    <x v="0"/>
    <x v="56"/>
    <x v="56"/>
    <x v="82"/>
    <x v="82"/>
    <x v="82"/>
    <x v="16"/>
    <x v="199"/>
    <x v="48"/>
    <x v="53"/>
    <x v="57"/>
    <x v="54"/>
    <x v="373"/>
    <x v="2"/>
  </r>
  <r>
    <x v="0"/>
    <x v="56"/>
    <x v="56"/>
    <x v="80"/>
    <x v="80"/>
    <x v="80"/>
    <x v="16"/>
    <x v="199"/>
    <x v="48"/>
    <x v="48"/>
    <x v="153"/>
    <x v="132"/>
    <x v="188"/>
    <x v="2"/>
  </r>
  <r>
    <x v="0"/>
    <x v="56"/>
    <x v="56"/>
    <x v="39"/>
    <x v="39"/>
    <x v="39"/>
    <x v="16"/>
    <x v="199"/>
    <x v="48"/>
    <x v="59"/>
    <x v="527"/>
    <x v="90"/>
    <x v="279"/>
    <x v="2"/>
  </r>
  <r>
    <x v="0"/>
    <x v="56"/>
    <x v="56"/>
    <x v="14"/>
    <x v="14"/>
    <x v="14"/>
    <x v="16"/>
    <x v="199"/>
    <x v="48"/>
    <x v="48"/>
    <x v="153"/>
    <x v="132"/>
    <x v="188"/>
    <x v="2"/>
  </r>
  <r>
    <x v="0"/>
    <x v="56"/>
    <x v="56"/>
    <x v="22"/>
    <x v="22"/>
    <x v="22"/>
    <x v="16"/>
    <x v="199"/>
    <x v="48"/>
    <x v="59"/>
    <x v="527"/>
    <x v="90"/>
    <x v="279"/>
    <x v="2"/>
  </r>
  <r>
    <x v="0"/>
    <x v="56"/>
    <x v="56"/>
    <x v="40"/>
    <x v="40"/>
    <x v="40"/>
    <x v="16"/>
    <x v="199"/>
    <x v="48"/>
    <x v="59"/>
    <x v="527"/>
    <x v="90"/>
    <x v="279"/>
    <x v="2"/>
  </r>
  <r>
    <x v="0"/>
    <x v="56"/>
    <x v="56"/>
    <x v="62"/>
    <x v="62"/>
    <x v="62"/>
    <x v="16"/>
    <x v="199"/>
    <x v="48"/>
    <x v="53"/>
    <x v="57"/>
    <x v="54"/>
    <x v="373"/>
    <x v="2"/>
  </r>
  <r>
    <x v="0"/>
    <x v="56"/>
    <x v="56"/>
    <x v="16"/>
    <x v="16"/>
    <x v="16"/>
    <x v="16"/>
    <x v="199"/>
    <x v="48"/>
    <x v="53"/>
    <x v="57"/>
    <x v="54"/>
    <x v="373"/>
    <x v="2"/>
  </r>
  <r>
    <x v="0"/>
    <x v="56"/>
    <x v="56"/>
    <x v="47"/>
    <x v="47"/>
    <x v="47"/>
    <x v="16"/>
    <x v="199"/>
    <x v="48"/>
    <x v="48"/>
    <x v="153"/>
    <x v="132"/>
    <x v="188"/>
    <x v="2"/>
  </r>
  <r>
    <x v="0"/>
    <x v="56"/>
    <x v="56"/>
    <x v="6"/>
    <x v="6"/>
    <x v="6"/>
    <x v="16"/>
    <x v="199"/>
    <x v="48"/>
    <x v="59"/>
    <x v="527"/>
    <x v="90"/>
    <x v="279"/>
    <x v="2"/>
  </r>
  <r>
    <x v="0"/>
    <x v="56"/>
    <x v="56"/>
    <x v="92"/>
    <x v="92"/>
    <x v="92"/>
    <x v="16"/>
    <x v="199"/>
    <x v="48"/>
    <x v="53"/>
    <x v="57"/>
    <x v="54"/>
    <x v="373"/>
    <x v="2"/>
  </r>
  <r>
    <x v="0"/>
    <x v="56"/>
    <x v="56"/>
    <x v="93"/>
    <x v="93"/>
    <x v="93"/>
    <x v="16"/>
    <x v="199"/>
    <x v="48"/>
    <x v="53"/>
    <x v="57"/>
    <x v="54"/>
    <x v="373"/>
    <x v="2"/>
  </r>
  <r>
    <x v="0"/>
    <x v="57"/>
    <x v="57"/>
    <x v="0"/>
    <x v="0"/>
    <x v="0"/>
    <x v="0"/>
    <x v="173"/>
    <x v="343"/>
    <x v="98"/>
    <x v="529"/>
    <x v="132"/>
    <x v="188"/>
    <x v="2"/>
  </r>
  <r>
    <x v="0"/>
    <x v="57"/>
    <x v="57"/>
    <x v="2"/>
    <x v="2"/>
    <x v="2"/>
    <x v="1"/>
    <x v="176"/>
    <x v="344"/>
    <x v="42"/>
    <x v="530"/>
    <x v="132"/>
    <x v="188"/>
    <x v="2"/>
  </r>
  <r>
    <x v="0"/>
    <x v="57"/>
    <x v="57"/>
    <x v="13"/>
    <x v="13"/>
    <x v="13"/>
    <x v="1"/>
    <x v="176"/>
    <x v="344"/>
    <x v="27"/>
    <x v="531"/>
    <x v="90"/>
    <x v="64"/>
    <x v="2"/>
  </r>
  <r>
    <x v="0"/>
    <x v="57"/>
    <x v="57"/>
    <x v="11"/>
    <x v="11"/>
    <x v="11"/>
    <x v="3"/>
    <x v="193"/>
    <x v="345"/>
    <x v="30"/>
    <x v="532"/>
    <x v="65"/>
    <x v="377"/>
    <x v="2"/>
  </r>
  <r>
    <x v="0"/>
    <x v="57"/>
    <x v="57"/>
    <x v="47"/>
    <x v="47"/>
    <x v="47"/>
    <x v="4"/>
    <x v="194"/>
    <x v="295"/>
    <x v="33"/>
    <x v="471"/>
    <x v="54"/>
    <x v="8"/>
    <x v="2"/>
  </r>
  <r>
    <x v="0"/>
    <x v="57"/>
    <x v="57"/>
    <x v="10"/>
    <x v="10"/>
    <x v="10"/>
    <x v="5"/>
    <x v="195"/>
    <x v="108"/>
    <x v="53"/>
    <x v="57"/>
    <x v="120"/>
    <x v="378"/>
    <x v="2"/>
  </r>
  <r>
    <x v="0"/>
    <x v="57"/>
    <x v="57"/>
    <x v="4"/>
    <x v="4"/>
    <x v="4"/>
    <x v="5"/>
    <x v="195"/>
    <x v="108"/>
    <x v="31"/>
    <x v="533"/>
    <x v="132"/>
    <x v="188"/>
    <x v="2"/>
  </r>
  <r>
    <x v="0"/>
    <x v="57"/>
    <x v="57"/>
    <x v="49"/>
    <x v="49"/>
    <x v="49"/>
    <x v="7"/>
    <x v="196"/>
    <x v="253"/>
    <x v="30"/>
    <x v="532"/>
    <x v="90"/>
    <x v="64"/>
    <x v="2"/>
  </r>
  <r>
    <x v="0"/>
    <x v="57"/>
    <x v="57"/>
    <x v="3"/>
    <x v="3"/>
    <x v="3"/>
    <x v="7"/>
    <x v="196"/>
    <x v="253"/>
    <x v="52"/>
    <x v="534"/>
    <x v="54"/>
    <x v="8"/>
    <x v="2"/>
  </r>
  <r>
    <x v="0"/>
    <x v="57"/>
    <x v="57"/>
    <x v="80"/>
    <x v="80"/>
    <x v="80"/>
    <x v="9"/>
    <x v="197"/>
    <x v="245"/>
    <x v="30"/>
    <x v="532"/>
    <x v="132"/>
    <x v="188"/>
    <x v="2"/>
  </r>
  <r>
    <x v="0"/>
    <x v="57"/>
    <x v="57"/>
    <x v="14"/>
    <x v="14"/>
    <x v="14"/>
    <x v="9"/>
    <x v="197"/>
    <x v="245"/>
    <x v="30"/>
    <x v="532"/>
    <x v="132"/>
    <x v="188"/>
    <x v="2"/>
  </r>
  <r>
    <x v="0"/>
    <x v="57"/>
    <x v="57"/>
    <x v="17"/>
    <x v="17"/>
    <x v="17"/>
    <x v="11"/>
    <x v="198"/>
    <x v="45"/>
    <x v="53"/>
    <x v="57"/>
    <x v="69"/>
    <x v="351"/>
    <x v="2"/>
  </r>
  <r>
    <x v="0"/>
    <x v="57"/>
    <x v="57"/>
    <x v="19"/>
    <x v="19"/>
    <x v="19"/>
    <x v="11"/>
    <x v="198"/>
    <x v="45"/>
    <x v="48"/>
    <x v="228"/>
    <x v="90"/>
    <x v="64"/>
    <x v="2"/>
  </r>
  <r>
    <x v="0"/>
    <x v="57"/>
    <x v="57"/>
    <x v="61"/>
    <x v="61"/>
    <x v="61"/>
    <x v="11"/>
    <x v="198"/>
    <x v="45"/>
    <x v="48"/>
    <x v="228"/>
    <x v="90"/>
    <x v="64"/>
    <x v="2"/>
  </r>
  <r>
    <x v="0"/>
    <x v="57"/>
    <x v="57"/>
    <x v="26"/>
    <x v="26"/>
    <x v="26"/>
    <x v="11"/>
    <x v="198"/>
    <x v="45"/>
    <x v="53"/>
    <x v="57"/>
    <x v="69"/>
    <x v="351"/>
    <x v="2"/>
  </r>
  <r>
    <x v="0"/>
    <x v="57"/>
    <x v="57"/>
    <x v="8"/>
    <x v="8"/>
    <x v="8"/>
    <x v="11"/>
    <x v="198"/>
    <x v="45"/>
    <x v="59"/>
    <x v="535"/>
    <x v="54"/>
    <x v="8"/>
    <x v="2"/>
  </r>
  <r>
    <x v="0"/>
    <x v="57"/>
    <x v="57"/>
    <x v="9"/>
    <x v="9"/>
    <x v="9"/>
    <x v="11"/>
    <x v="198"/>
    <x v="45"/>
    <x v="53"/>
    <x v="57"/>
    <x v="69"/>
    <x v="351"/>
    <x v="2"/>
  </r>
  <r>
    <x v="0"/>
    <x v="57"/>
    <x v="57"/>
    <x v="43"/>
    <x v="43"/>
    <x v="43"/>
    <x v="11"/>
    <x v="198"/>
    <x v="45"/>
    <x v="52"/>
    <x v="534"/>
    <x v="132"/>
    <x v="188"/>
    <x v="2"/>
  </r>
  <r>
    <x v="0"/>
    <x v="57"/>
    <x v="57"/>
    <x v="51"/>
    <x v="51"/>
    <x v="51"/>
    <x v="11"/>
    <x v="198"/>
    <x v="45"/>
    <x v="52"/>
    <x v="534"/>
    <x v="132"/>
    <x v="188"/>
    <x v="2"/>
  </r>
  <r>
    <x v="0"/>
    <x v="57"/>
    <x v="57"/>
    <x v="56"/>
    <x v="56"/>
    <x v="56"/>
    <x v="11"/>
    <x v="198"/>
    <x v="45"/>
    <x v="52"/>
    <x v="534"/>
    <x v="132"/>
    <x v="188"/>
    <x v="2"/>
  </r>
  <r>
    <x v="0"/>
    <x v="57"/>
    <x v="57"/>
    <x v="42"/>
    <x v="42"/>
    <x v="42"/>
    <x v="11"/>
    <x v="198"/>
    <x v="45"/>
    <x v="48"/>
    <x v="228"/>
    <x v="90"/>
    <x v="64"/>
    <x v="2"/>
  </r>
  <r>
    <x v="0"/>
    <x v="57"/>
    <x v="57"/>
    <x v="20"/>
    <x v="20"/>
    <x v="20"/>
    <x v="11"/>
    <x v="198"/>
    <x v="45"/>
    <x v="52"/>
    <x v="534"/>
    <x v="132"/>
    <x v="188"/>
    <x v="2"/>
  </r>
  <r>
    <x v="0"/>
    <x v="58"/>
    <x v="58"/>
    <x v="3"/>
    <x v="3"/>
    <x v="3"/>
    <x v="0"/>
    <x v="172"/>
    <x v="263"/>
    <x v="27"/>
    <x v="315"/>
    <x v="120"/>
    <x v="379"/>
    <x v="2"/>
  </r>
  <r>
    <x v="0"/>
    <x v="58"/>
    <x v="58"/>
    <x v="2"/>
    <x v="2"/>
    <x v="2"/>
    <x v="0"/>
    <x v="172"/>
    <x v="263"/>
    <x v="50"/>
    <x v="536"/>
    <x v="132"/>
    <x v="188"/>
    <x v="2"/>
  </r>
  <r>
    <x v="0"/>
    <x v="58"/>
    <x v="58"/>
    <x v="7"/>
    <x v="7"/>
    <x v="7"/>
    <x v="2"/>
    <x v="190"/>
    <x v="346"/>
    <x v="31"/>
    <x v="537"/>
    <x v="117"/>
    <x v="380"/>
    <x v="2"/>
  </r>
  <r>
    <x v="0"/>
    <x v="58"/>
    <x v="58"/>
    <x v="0"/>
    <x v="0"/>
    <x v="0"/>
    <x v="3"/>
    <x v="174"/>
    <x v="65"/>
    <x v="42"/>
    <x v="48"/>
    <x v="54"/>
    <x v="381"/>
    <x v="2"/>
  </r>
  <r>
    <x v="0"/>
    <x v="58"/>
    <x v="58"/>
    <x v="42"/>
    <x v="42"/>
    <x v="42"/>
    <x v="4"/>
    <x v="175"/>
    <x v="181"/>
    <x v="42"/>
    <x v="48"/>
    <x v="90"/>
    <x v="255"/>
    <x v="2"/>
  </r>
  <r>
    <x v="0"/>
    <x v="58"/>
    <x v="58"/>
    <x v="17"/>
    <x v="17"/>
    <x v="17"/>
    <x v="5"/>
    <x v="193"/>
    <x v="230"/>
    <x v="30"/>
    <x v="490"/>
    <x v="65"/>
    <x v="99"/>
    <x v="2"/>
  </r>
  <r>
    <x v="0"/>
    <x v="58"/>
    <x v="58"/>
    <x v="13"/>
    <x v="13"/>
    <x v="13"/>
    <x v="5"/>
    <x v="193"/>
    <x v="230"/>
    <x v="33"/>
    <x v="308"/>
    <x v="69"/>
    <x v="32"/>
    <x v="2"/>
  </r>
  <r>
    <x v="0"/>
    <x v="58"/>
    <x v="58"/>
    <x v="61"/>
    <x v="61"/>
    <x v="61"/>
    <x v="7"/>
    <x v="194"/>
    <x v="347"/>
    <x v="30"/>
    <x v="490"/>
    <x v="69"/>
    <x v="32"/>
    <x v="2"/>
  </r>
  <r>
    <x v="0"/>
    <x v="58"/>
    <x v="58"/>
    <x v="8"/>
    <x v="8"/>
    <x v="8"/>
    <x v="7"/>
    <x v="194"/>
    <x v="347"/>
    <x v="33"/>
    <x v="308"/>
    <x v="54"/>
    <x v="381"/>
    <x v="2"/>
  </r>
  <r>
    <x v="0"/>
    <x v="58"/>
    <x v="58"/>
    <x v="12"/>
    <x v="12"/>
    <x v="12"/>
    <x v="7"/>
    <x v="194"/>
    <x v="347"/>
    <x v="52"/>
    <x v="392"/>
    <x v="65"/>
    <x v="99"/>
    <x v="2"/>
  </r>
  <r>
    <x v="0"/>
    <x v="58"/>
    <x v="58"/>
    <x v="40"/>
    <x v="40"/>
    <x v="40"/>
    <x v="7"/>
    <x v="194"/>
    <x v="347"/>
    <x v="52"/>
    <x v="392"/>
    <x v="65"/>
    <x v="99"/>
    <x v="2"/>
  </r>
  <r>
    <x v="0"/>
    <x v="58"/>
    <x v="58"/>
    <x v="10"/>
    <x v="10"/>
    <x v="10"/>
    <x v="11"/>
    <x v="195"/>
    <x v="57"/>
    <x v="59"/>
    <x v="44"/>
    <x v="74"/>
    <x v="382"/>
    <x v="2"/>
  </r>
  <r>
    <x v="0"/>
    <x v="58"/>
    <x v="58"/>
    <x v="88"/>
    <x v="88"/>
    <x v="88"/>
    <x v="11"/>
    <x v="195"/>
    <x v="57"/>
    <x v="59"/>
    <x v="44"/>
    <x v="74"/>
    <x v="382"/>
    <x v="2"/>
  </r>
  <r>
    <x v="0"/>
    <x v="58"/>
    <x v="58"/>
    <x v="51"/>
    <x v="51"/>
    <x v="51"/>
    <x v="11"/>
    <x v="195"/>
    <x v="57"/>
    <x v="52"/>
    <x v="392"/>
    <x v="69"/>
    <x v="32"/>
    <x v="2"/>
  </r>
  <r>
    <x v="0"/>
    <x v="58"/>
    <x v="58"/>
    <x v="4"/>
    <x v="4"/>
    <x v="4"/>
    <x v="11"/>
    <x v="195"/>
    <x v="57"/>
    <x v="33"/>
    <x v="308"/>
    <x v="90"/>
    <x v="255"/>
    <x v="2"/>
  </r>
  <r>
    <x v="0"/>
    <x v="58"/>
    <x v="58"/>
    <x v="47"/>
    <x v="47"/>
    <x v="47"/>
    <x v="11"/>
    <x v="195"/>
    <x v="57"/>
    <x v="31"/>
    <x v="537"/>
    <x v="132"/>
    <x v="188"/>
    <x v="2"/>
  </r>
  <r>
    <x v="0"/>
    <x v="58"/>
    <x v="58"/>
    <x v="11"/>
    <x v="11"/>
    <x v="11"/>
    <x v="16"/>
    <x v="196"/>
    <x v="45"/>
    <x v="52"/>
    <x v="392"/>
    <x v="54"/>
    <x v="381"/>
    <x v="2"/>
  </r>
  <r>
    <x v="0"/>
    <x v="58"/>
    <x v="58"/>
    <x v="9"/>
    <x v="9"/>
    <x v="9"/>
    <x v="16"/>
    <x v="196"/>
    <x v="45"/>
    <x v="52"/>
    <x v="392"/>
    <x v="54"/>
    <x v="381"/>
    <x v="2"/>
  </r>
  <r>
    <x v="0"/>
    <x v="58"/>
    <x v="58"/>
    <x v="1"/>
    <x v="1"/>
    <x v="1"/>
    <x v="16"/>
    <x v="196"/>
    <x v="45"/>
    <x v="52"/>
    <x v="392"/>
    <x v="54"/>
    <x v="381"/>
    <x v="2"/>
  </r>
  <r>
    <x v="0"/>
    <x v="58"/>
    <x v="58"/>
    <x v="21"/>
    <x v="21"/>
    <x v="21"/>
    <x v="16"/>
    <x v="196"/>
    <x v="45"/>
    <x v="52"/>
    <x v="392"/>
    <x v="54"/>
    <x v="381"/>
    <x v="2"/>
  </r>
  <r>
    <x v="0"/>
    <x v="59"/>
    <x v="59"/>
    <x v="46"/>
    <x v="46"/>
    <x v="46"/>
    <x v="0"/>
    <x v="100"/>
    <x v="348"/>
    <x v="79"/>
    <x v="538"/>
    <x v="69"/>
    <x v="383"/>
    <x v="2"/>
  </r>
  <r>
    <x v="0"/>
    <x v="59"/>
    <x v="59"/>
    <x v="3"/>
    <x v="3"/>
    <x v="3"/>
    <x v="1"/>
    <x v="173"/>
    <x v="349"/>
    <x v="72"/>
    <x v="539"/>
    <x v="54"/>
    <x v="60"/>
    <x v="2"/>
  </r>
  <r>
    <x v="0"/>
    <x v="59"/>
    <x v="59"/>
    <x v="0"/>
    <x v="0"/>
    <x v="0"/>
    <x v="2"/>
    <x v="174"/>
    <x v="320"/>
    <x v="60"/>
    <x v="396"/>
    <x v="132"/>
    <x v="188"/>
    <x v="2"/>
  </r>
  <r>
    <x v="0"/>
    <x v="59"/>
    <x v="59"/>
    <x v="2"/>
    <x v="2"/>
    <x v="2"/>
    <x v="3"/>
    <x v="175"/>
    <x v="350"/>
    <x v="72"/>
    <x v="539"/>
    <x v="132"/>
    <x v="188"/>
    <x v="2"/>
  </r>
  <r>
    <x v="0"/>
    <x v="59"/>
    <x v="59"/>
    <x v="1"/>
    <x v="1"/>
    <x v="1"/>
    <x v="4"/>
    <x v="195"/>
    <x v="267"/>
    <x v="52"/>
    <x v="58"/>
    <x v="69"/>
    <x v="383"/>
    <x v="2"/>
  </r>
  <r>
    <x v="0"/>
    <x v="59"/>
    <x v="59"/>
    <x v="52"/>
    <x v="52"/>
    <x v="52"/>
    <x v="4"/>
    <x v="195"/>
    <x v="267"/>
    <x v="31"/>
    <x v="336"/>
    <x v="132"/>
    <x v="188"/>
    <x v="2"/>
  </r>
  <r>
    <x v="0"/>
    <x v="59"/>
    <x v="59"/>
    <x v="11"/>
    <x v="11"/>
    <x v="11"/>
    <x v="6"/>
    <x v="196"/>
    <x v="66"/>
    <x v="52"/>
    <x v="58"/>
    <x v="54"/>
    <x v="60"/>
    <x v="2"/>
  </r>
  <r>
    <x v="0"/>
    <x v="59"/>
    <x v="59"/>
    <x v="54"/>
    <x v="54"/>
    <x v="54"/>
    <x v="6"/>
    <x v="196"/>
    <x v="66"/>
    <x v="33"/>
    <x v="283"/>
    <x v="132"/>
    <x v="188"/>
    <x v="2"/>
  </r>
  <r>
    <x v="0"/>
    <x v="59"/>
    <x v="59"/>
    <x v="10"/>
    <x v="10"/>
    <x v="10"/>
    <x v="8"/>
    <x v="197"/>
    <x v="7"/>
    <x v="59"/>
    <x v="204"/>
    <x v="69"/>
    <x v="383"/>
    <x v="2"/>
  </r>
  <r>
    <x v="0"/>
    <x v="59"/>
    <x v="59"/>
    <x v="37"/>
    <x v="37"/>
    <x v="37"/>
    <x v="8"/>
    <x v="197"/>
    <x v="7"/>
    <x v="48"/>
    <x v="540"/>
    <x v="54"/>
    <x v="60"/>
    <x v="2"/>
  </r>
  <r>
    <x v="0"/>
    <x v="59"/>
    <x v="59"/>
    <x v="51"/>
    <x v="51"/>
    <x v="51"/>
    <x v="8"/>
    <x v="197"/>
    <x v="7"/>
    <x v="30"/>
    <x v="308"/>
    <x v="132"/>
    <x v="188"/>
    <x v="2"/>
  </r>
  <r>
    <x v="0"/>
    <x v="59"/>
    <x v="59"/>
    <x v="12"/>
    <x v="12"/>
    <x v="12"/>
    <x v="8"/>
    <x v="197"/>
    <x v="7"/>
    <x v="59"/>
    <x v="204"/>
    <x v="69"/>
    <x v="383"/>
    <x v="2"/>
  </r>
  <r>
    <x v="0"/>
    <x v="59"/>
    <x v="59"/>
    <x v="56"/>
    <x v="56"/>
    <x v="56"/>
    <x v="8"/>
    <x v="197"/>
    <x v="7"/>
    <x v="48"/>
    <x v="540"/>
    <x v="54"/>
    <x v="60"/>
    <x v="2"/>
  </r>
  <r>
    <x v="0"/>
    <x v="59"/>
    <x v="59"/>
    <x v="47"/>
    <x v="47"/>
    <x v="47"/>
    <x v="8"/>
    <x v="197"/>
    <x v="7"/>
    <x v="52"/>
    <x v="58"/>
    <x v="90"/>
    <x v="3"/>
    <x v="2"/>
  </r>
  <r>
    <x v="0"/>
    <x v="59"/>
    <x v="59"/>
    <x v="13"/>
    <x v="13"/>
    <x v="13"/>
    <x v="8"/>
    <x v="197"/>
    <x v="7"/>
    <x v="52"/>
    <x v="58"/>
    <x v="90"/>
    <x v="3"/>
    <x v="2"/>
  </r>
  <r>
    <x v="0"/>
    <x v="59"/>
    <x v="59"/>
    <x v="17"/>
    <x v="17"/>
    <x v="17"/>
    <x v="15"/>
    <x v="198"/>
    <x v="18"/>
    <x v="53"/>
    <x v="57"/>
    <x v="69"/>
    <x v="383"/>
    <x v="2"/>
  </r>
  <r>
    <x v="0"/>
    <x v="59"/>
    <x v="59"/>
    <x v="19"/>
    <x v="19"/>
    <x v="19"/>
    <x v="15"/>
    <x v="198"/>
    <x v="18"/>
    <x v="59"/>
    <x v="204"/>
    <x v="54"/>
    <x v="60"/>
    <x v="2"/>
  </r>
  <r>
    <x v="0"/>
    <x v="59"/>
    <x v="59"/>
    <x v="8"/>
    <x v="8"/>
    <x v="8"/>
    <x v="15"/>
    <x v="198"/>
    <x v="18"/>
    <x v="52"/>
    <x v="58"/>
    <x v="132"/>
    <x v="188"/>
    <x v="2"/>
  </r>
  <r>
    <x v="0"/>
    <x v="59"/>
    <x v="59"/>
    <x v="9"/>
    <x v="9"/>
    <x v="9"/>
    <x v="15"/>
    <x v="198"/>
    <x v="18"/>
    <x v="53"/>
    <x v="57"/>
    <x v="69"/>
    <x v="383"/>
    <x v="2"/>
  </r>
  <r>
    <x v="0"/>
    <x v="59"/>
    <x v="59"/>
    <x v="43"/>
    <x v="43"/>
    <x v="43"/>
    <x v="15"/>
    <x v="198"/>
    <x v="18"/>
    <x v="48"/>
    <x v="540"/>
    <x v="90"/>
    <x v="3"/>
    <x v="2"/>
  </r>
  <r>
    <x v="0"/>
    <x v="59"/>
    <x v="59"/>
    <x v="14"/>
    <x v="14"/>
    <x v="14"/>
    <x v="15"/>
    <x v="198"/>
    <x v="18"/>
    <x v="48"/>
    <x v="540"/>
    <x v="90"/>
    <x v="3"/>
    <x v="2"/>
  </r>
  <r>
    <x v="0"/>
    <x v="59"/>
    <x v="59"/>
    <x v="40"/>
    <x v="40"/>
    <x v="40"/>
    <x v="15"/>
    <x v="198"/>
    <x v="18"/>
    <x v="53"/>
    <x v="57"/>
    <x v="69"/>
    <x v="383"/>
    <x v="2"/>
  </r>
  <r>
    <x v="0"/>
    <x v="59"/>
    <x v="59"/>
    <x v="15"/>
    <x v="15"/>
    <x v="15"/>
    <x v="15"/>
    <x v="198"/>
    <x v="18"/>
    <x v="53"/>
    <x v="57"/>
    <x v="69"/>
    <x v="383"/>
    <x v="2"/>
  </r>
  <r>
    <x v="0"/>
    <x v="59"/>
    <x v="59"/>
    <x v="94"/>
    <x v="94"/>
    <x v="94"/>
    <x v="15"/>
    <x v="198"/>
    <x v="18"/>
    <x v="53"/>
    <x v="57"/>
    <x v="69"/>
    <x v="383"/>
    <x v="2"/>
  </r>
  <r>
    <x v="0"/>
    <x v="59"/>
    <x v="59"/>
    <x v="42"/>
    <x v="42"/>
    <x v="42"/>
    <x v="15"/>
    <x v="198"/>
    <x v="18"/>
    <x v="48"/>
    <x v="540"/>
    <x v="90"/>
    <x v="3"/>
    <x v="2"/>
  </r>
  <r>
    <x v="0"/>
    <x v="59"/>
    <x v="59"/>
    <x v="95"/>
    <x v="95"/>
    <x v="95"/>
    <x v="15"/>
    <x v="198"/>
    <x v="18"/>
    <x v="52"/>
    <x v="58"/>
    <x v="132"/>
    <x v="188"/>
    <x v="2"/>
  </r>
  <r>
    <x v="0"/>
    <x v="59"/>
    <x v="59"/>
    <x v="21"/>
    <x v="21"/>
    <x v="21"/>
    <x v="15"/>
    <x v="198"/>
    <x v="18"/>
    <x v="52"/>
    <x v="58"/>
    <x v="132"/>
    <x v="188"/>
    <x v="2"/>
  </r>
  <r>
    <x v="0"/>
    <x v="59"/>
    <x v="59"/>
    <x v="6"/>
    <x v="6"/>
    <x v="6"/>
    <x v="15"/>
    <x v="198"/>
    <x v="18"/>
    <x v="48"/>
    <x v="540"/>
    <x v="90"/>
    <x v="3"/>
    <x v="2"/>
  </r>
  <r>
    <x v="0"/>
    <x v="59"/>
    <x v="59"/>
    <x v="20"/>
    <x v="20"/>
    <x v="20"/>
    <x v="15"/>
    <x v="198"/>
    <x v="18"/>
    <x v="52"/>
    <x v="58"/>
    <x v="132"/>
    <x v="188"/>
    <x v="2"/>
  </r>
  <r>
    <x v="0"/>
    <x v="59"/>
    <x v="59"/>
    <x v="5"/>
    <x v="5"/>
    <x v="5"/>
    <x v="15"/>
    <x v="198"/>
    <x v="18"/>
    <x v="52"/>
    <x v="58"/>
    <x v="132"/>
    <x v="188"/>
    <x v="2"/>
  </r>
  <r>
    <x v="0"/>
    <x v="60"/>
    <x v="60"/>
    <x v="3"/>
    <x v="3"/>
    <x v="3"/>
    <x v="0"/>
    <x v="172"/>
    <x v="240"/>
    <x v="60"/>
    <x v="541"/>
    <x v="69"/>
    <x v="312"/>
    <x v="2"/>
  </r>
  <r>
    <x v="0"/>
    <x v="60"/>
    <x v="60"/>
    <x v="0"/>
    <x v="0"/>
    <x v="0"/>
    <x v="0"/>
    <x v="172"/>
    <x v="240"/>
    <x v="87"/>
    <x v="476"/>
    <x v="90"/>
    <x v="124"/>
    <x v="2"/>
  </r>
  <r>
    <x v="0"/>
    <x v="60"/>
    <x v="60"/>
    <x v="2"/>
    <x v="2"/>
    <x v="2"/>
    <x v="2"/>
    <x v="176"/>
    <x v="180"/>
    <x v="42"/>
    <x v="542"/>
    <x v="132"/>
    <x v="188"/>
    <x v="2"/>
  </r>
  <r>
    <x v="0"/>
    <x v="60"/>
    <x v="60"/>
    <x v="11"/>
    <x v="11"/>
    <x v="11"/>
    <x v="3"/>
    <x v="193"/>
    <x v="351"/>
    <x v="30"/>
    <x v="214"/>
    <x v="65"/>
    <x v="354"/>
    <x v="2"/>
  </r>
  <r>
    <x v="0"/>
    <x v="60"/>
    <x v="60"/>
    <x v="39"/>
    <x v="39"/>
    <x v="39"/>
    <x v="3"/>
    <x v="193"/>
    <x v="351"/>
    <x v="80"/>
    <x v="543"/>
    <x v="90"/>
    <x v="124"/>
    <x v="2"/>
  </r>
  <r>
    <x v="0"/>
    <x v="60"/>
    <x v="60"/>
    <x v="14"/>
    <x v="14"/>
    <x v="14"/>
    <x v="3"/>
    <x v="193"/>
    <x v="351"/>
    <x v="31"/>
    <x v="258"/>
    <x v="54"/>
    <x v="263"/>
    <x v="2"/>
  </r>
  <r>
    <x v="0"/>
    <x v="60"/>
    <x v="60"/>
    <x v="47"/>
    <x v="47"/>
    <x v="47"/>
    <x v="3"/>
    <x v="193"/>
    <x v="351"/>
    <x v="27"/>
    <x v="544"/>
    <x v="132"/>
    <x v="188"/>
    <x v="2"/>
  </r>
  <r>
    <x v="0"/>
    <x v="60"/>
    <x v="60"/>
    <x v="51"/>
    <x v="51"/>
    <x v="51"/>
    <x v="7"/>
    <x v="195"/>
    <x v="314"/>
    <x v="31"/>
    <x v="258"/>
    <x v="132"/>
    <x v="188"/>
    <x v="2"/>
  </r>
  <r>
    <x v="0"/>
    <x v="60"/>
    <x v="60"/>
    <x v="48"/>
    <x v="48"/>
    <x v="48"/>
    <x v="8"/>
    <x v="196"/>
    <x v="352"/>
    <x v="59"/>
    <x v="74"/>
    <x v="65"/>
    <x v="354"/>
    <x v="2"/>
  </r>
  <r>
    <x v="0"/>
    <x v="60"/>
    <x v="60"/>
    <x v="37"/>
    <x v="37"/>
    <x v="37"/>
    <x v="8"/>
    <x v="196"/>
    <x v="352"/>
    <x v="53"/>
    <x v="57"/>
    <x v="74"/>
    <x v="353"/>
    <x v="2"/>
  </r>
  <r>
    <x v="0"/>
    <x v="60"/>
    <x v="60"/>
    <x v="44"/>
    <x v="44"/>
    <x v="44"/>
    <x v="8"/>
    <x v="196"/>
    <x v="352"/>
    <x v="59"/>
    <x v="74"/>
    <x v="65"/>
    <x v="354"/>
    <x v="2"/>
  </r>
  <r>
    <x v="0"/>
    <x v="60"/>
    <x v="60"/>
    <x v="7"/>
    <x v="7"/>
    <x v="7"/>
    <x v="8"/>
    <x v="196"/>
    <x v="352"/>
    <x v="33"/>
    <x v="545"/>
    <x v="132"/>
    <x v="188"/>
    <x v="2"/>
  </r>
  <r>
    <x v="0"/>
    <x v="60"/>
    <x v="60"/>
    <x v="46"/>
    <x v="46"/>
    <x v="46"/>
    <x v="8"/>
    <x v="196"/>
    <x v="352"/>
    <x v="33"/>
    <x v="545"/>
    <x v="132"/>
    <x v="188"/>
    <x v="2"/>
  </r>
  <r>
    <x v="0"/>
    <x v="60"/>
    <x v="60"/>
    <x v="33"/>
    <x v="33"/>
    <x v="33"/>
    <x v="8"/>
    <x v="196"/>
    <x v="352"/>
    <x v="53"/>
    <x v="57"/>
    <x v="74"/>
    <x v="353"/>
    <x v="2"/>
  </r>
  <r>
    <x v="0"/>
    <x v="60"/>
    <x v="60"/>
    <x v="13"/>
    <x v="13"/>
    <x v="13"/>
    <x v="8"/>
    <x v="196"/>
    <x v="352"/>
    <x v="52"/>
    <x v="546"/>
    <x v="54"/>
    <x v="263"/>
    <x v="2"/>
  </r>
  <r>
    <x v="0"/>
    <x v="60"/>
    <x v="60"/>
    <x v="17"/>
    <x v="17"/>
    <x v="17"/>
    <x v="15"/>
    <x v="197"/>
    <x v="8"/>
    <x v="59"/>
    <x v="74"/>
    <x v="69"/>
    <x v="312"/>
    <x v="2"/>
  </r>
  <r>
    <x v="0"/>
    <x v="60"/>
    <x v="60"/>
    <x v="61"/>
    <x v="61"/>
    <x v="61"/>
    <x v="15"/>
    <x v="197"/>
    <x v="8"/>
    <x v="30"/>
    <x v="214"/>
    <x v="132"/>
    <x v="188"/>
    <x v="2"/>
  </r>
  <r>
    <x v="0"/>
    <x v="60"/>
    <x v="60"/>
    <x v="30"/>
    <x v="30"/>
    <x v="30"/>
    <x v="15"/>
    <x v="197"/>
    <x v="8"/>
    <x v="59"/>
    <x v="74"/>
    <x v="69"/>
    <x v="312"/>
    <x v="2"/>
  </r>
  <r>
    <x v="0"/>
    <x v="60"/>
    <x v="60"/>
    <x v="84"/>
    <x v="84"/>
    <x v="84"/>
    <x v="15"/>
    <x v="197"/>
    <x v="8"/>
    <x v="48"/>
    <x v="135"/>
    <x v="54"/>
    <x v="263"/>
    <x v="2"/>
  </r>
  <r>
    <x v="0"/>
    <x v="60"/>
    <x v="60"/>
    <x v="96"/>
    <x v="96"/>
    <x v="96"/>
    <x v="15"/>
    <x v="197"/>
    <x v="8"/>
    <x v="48"/>
    <x v="135"/>
    <x v="54"/>
    <x v="263"/>
    <x v="2"/>
  </r>
  <r>
    <x v="0"/>
    <x v="60"/>
    <x v="60"/>
    <x v="42"/>
    <x v="42"/>
    <x v="42"/>
    <x v="15"/>
    <x v="197"/>
    <x v="8"/>
    <x v="52"/>
    <x v="546"/>
    <x v="90"/>
    <x v="124"/>
    <x v="2"/>
  </r>
  <r>
    <x v="0"/>
    <x v="60"/>
    <x v="60"/>
    <x v="95"/>
    <x v="95"/>
    <x v="95"/>
    <x v="15"/>
    <x v="197"/>
    <x v="8"/>
    <x v="30"/>
    <x v="214"/>
    <x v="132"/>
    <x v="188"/>
    <x v="2"/>
  </r>
  <r>
    <x v="0"/>
    <x v="60"/>
    <x v="60"/>
    <x v="4"/>
    <x v="4"/>
    <x v="4"/>
    <x v="15"/>
    <x v="197"/>
    <x v="8"/>
    <x v="30"/>
    <x v="214"/>
    <x v="132"/>
    <x v="188"/>
    <x v="2"/>
  </r>
  <r>
    <x v="0"/>
    <x v="60"/>
    <x v="60"/>
    <x v="45"/>
    <x v="45"/>
    <x v="45"/>
    <x v="15"/>
    <x v="197"/>
    <x v="8"/>
    <x v="30"/>
    <x v="214"/>
    <x v="132"/>
    <x v="188"/>
    <x v="2"/>
  </r>
  <r>
    <x v="0"/>
    <x v="60"/>
    <x v="60"/>
    <x v="52"/>
    <x v="52"/>
    <x v="52"/>
    <x v="15"/>
    <x v="197"/>
    <x v="8"/>
    <x v="52"/>
    <x v="546"/>
    <x v="90"/>
    <x v="12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9F6C1B-0C08-4637-9A3C-D7A3C9B8722F}" name="pvt_L" cacheId="2161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977" firstHeaderRow="0" firstDataRow="1" firstDataCol="1"/>
  <pivotFields count="11">
    <pivotField showAll="0"/>
    <pivotField showAll="0"/>
    <pivotField axis="axisRow" showAl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97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903">
      <pivotArea field="2" type="button" dataOnly="0" labelOnly="1" outline="0" axis="axisRow" fieldPosition="0"/>
    </format>
    <format dxfId="902">
      <pivotArea outline="0" fieldPosition="0">
        <references count="1">
          <reference field="4294967294" count="1">
            <x v="0"/>
          </reference>
        </references>
      </pivotArea>
    </format>
    <format dxfId="901">
      <pivotArea outline="0" fieldPosition="0">
        <references count="1">
          <reference field="4294967294" count="1">
            <x v="1"/>
          </reference>
        </references>
      </pivotArea>
    </format>
    <format dxfId="900">
      <pivotArea outline="0" fieldPosition="0">
        <references count="1">
          <reference field="4294967294" count="1">
            <x v="2"/>
          </reference>
        </references>
      </pivotArea>
    </format>
    <format dxfId="899">
      <pivotArea outline="0" fieldPosition="0">
        <references count="1">
          <reference field="4294967294" count="1">
            <x v="3"/>
          </reference>
        </references>
      </pivotArea>
    </format>
    <format dxfId="898">
      <pivotArea outline="0" fieldPosition="0">
        <references count="1">
          <reference field="4294967294" count="1">
            <x v="4"/>
          </reference>
        </references>
      </pivotArea>
    </format>
    <format dxfId="897">
      <pivotArea outline="0" fieldPosition="0">
        <references count="1">
          <reference field="4294967294" count="1">
            <x v="5"/>
          </reference>
        </references>
      </pivotArea>
    </format>
    <format dxfId="896">
      <pivotArea outline="0" fieldPosition="0">
        <references count="1">
          <reference field="4294967294" count="1">
            <x v="6"/>
          </reference>
        </references>
      </pivotArea>
    </format>
    <format dxfId="895">
      <pivotArea field="2" type="button" dataOnly="0" labelOnly="1" outline="0" axis="axisRow" fieldPosition="0"/>
    </format>
    <format dxfId="89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93">
      <pivotArea field="2" type="button" dataOnly="0" labelOnly="1" outline="0" axis="axisRow" fieldPosition="0"/>
    </format>
    <format dxfId="89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91">
      <pivotArea field="2" type="button" dataOnly="0" labelOnly="1" outline="0" axis="axisRow" fieldPosition="0"/>
    </format>
    <format dxfId="8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8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45E456-1908-48B1-B914-CA212A85DDD2}" name="pvt_M" cacheId="2162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437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61">
        <item x="42"/>
        <item x="19"/>
        <item x="60"/>
        <item x="59"/>
        <item x="58"/>
        <item x="35"/>
        <item x="45"/>
        <item x="44"/>
        <item x="31"/>
        <item x="26"/>
        <item x="28"/>
        <item x="27"/>
        <item x="11"/>
        <item x="29"/>
        <item x="46"/>
        <item x="47"/>
        <item x="48"/>
        <item x="40"/>
        <item x="17"/>
        <item x="51"/>
        <item x="49"/>
        <item x="50"/>
        <item x="41"/>
        <item x="32"/>
        <item x="23"/>
        <item x="9"/>
        <item x="20"/>
        <item x="22"/>
        <item x="13"/>
        <item x="16"/>
        <item x="0"/>
        <item x="1"/>
        <item x="4"/>
        <item x="3"/>
        <item x="5"/>
        <item x="2"/>
        <item x="7"/>
        <item x="6"/>
        <item x="10"/>
        <item x="39"/>
        <item x="33"/>
        <item x="43"/>
        <item x="8"/>
        <item x="52"/>
        <item x="54"/>
        <item x="57"/>
        <item x="56"/>
        <item x="55"/>
        <item x="53"/>
        <item x="18"/>
        <item x="38"/>
        <item x="21"/>
        <item x="36"/>
        <item x="34"/>
        <item x="25"/>
        <item x="30"/>
        <item x="37"/>
        <item x="15"/>
        <item x="12"/>
        <item x="14"/>
        <item x="24"/>
      </items>
    </pivotField>
    <pivotField axis="axisRow" showAll="0" insertBlankRow="1" defaultSubtota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</items>
    </pivotField>
    <pivotField showAll="0" defaultSubtotal="0">
      <items count="62">
        <item x="60"/>
        <item x="3"/>
        <item x="5"/>
        <item x="6"/>
        <item x="26"/>
        <item x="40"/>
        <item x="50"/>
        <item x="57"/>
        <item x="32"/>
        <item x="51"/>
        <item x="41"/>
        <item x="56"/>
        <item x="38"/>
        <item x="42"/>
        <item x="48"/>
        <item x="43"/>
        <item x="52"/>
        <item x="44"/>
        <item x="22"/>
        <item x="45"/>
        <item x="33"/>
        <item x="58"/>
        <item x="39"/>
        <item x="53"/>
        <item x="49"/>
        <item x="35"/>
        <item x="47"/>
        <item x="54"/>
        <item x="25"/>
        <item x="59"/>
        <item x="31"/>
        <item x="37"/>
        <item x="30"/>
        <item x="24"/>
        <item x="17"/>
        <item x="19"/>
        <item x="20"/>
        <item x="13"/>
        <item x="7"/>
        <item x="11"/>
        <item x="4"/>
        <item x="36"/>
        <item x="29"/>
        <item x="14"/>
        <item x="2"/>
        <item x="34"/>
        <item x="10"/>
        <item x="55"/>
        <item x="12"/>
        <item x="27"/>
        <item x="1"/>
        <item x="23"/>
        <item x="0"/>
        <item x="16"/>
        <item x="28"/>
        <item x="9"/>
        <item x="8"/>
        <item x="18"/>
        <item x="46"/>
        <item x="15"/>
        <item x="61"/>
        <item x="21"/>
      </items>
    </pivotField>
    <pivotField showAll="0" defaultSubtotal="0">
      <items count="62">
        <item x="42"/>
        <item x="20"/>
        <item x="9"/>
        <item x="21"/>
        <item x="4"/>
        <item x="16"/>
        <item x="35"/>
        <item x="48"/>
        <item x="51"/>
        <item x="45"/>
        <item x="38"/>
        <item x="8"/>
        <item x="41"/>
        <item x="1"/>
        <item x="24"/>
        <item x="7"/>
        <item x="40"/>
        <item x="30"/>
        <item x="56"/>
        <item x="32"/>
        <item x="19"/>
        <item x="11"/>
        <item x="61"/>
        <item x="12"/>
        <item x="58"/>
        <item x="22"/>
        <item x="17"/>
        <item x="28"/>
        <item x="55"/>
        <item x="60"/>
        <item x="23"/>
        <item x="15"/>
        <item x="18"/>
        <item x="27"/>
        <item x="25"/>
        <item x="13"/>
        <item x="5"/>
        <item x="26"/>
        <item x="54"/>
        <item x="33"/>
        <item x="6"/>
        <item x="10"/>
        <item x="0"/>
        <item x="50"/>
        <item x="37"/>
        <item x="3"/>
        <item x="52"/>
        <item x="53"/>
        <item x="47"/>
        <item x="39"/>
        <item x="31"/>
        <item x="59"/>
        <item x="46"/>
        <item x="44"/>
        <item x="14"/>
        <item x="2"/>
        <item x="34"/>
        <item x="29"/>
        <item x="36"/>
        <item x="57"/>
        <item x="49"/>
        <item x="43"/>
      </items>
    </pivotField>
    <pivotField axis="axisRow" showAll="0" defaultSubtotal="0">
      <items count="62">
        <item x="60"/>
        <item x="3"/>
        <item x="5"/>
        <item x="6"/>
        <item x="26"/>
        <item x="40"/>
        <item x="50"/>
        <item x="57"/>
        <item x="32"/>
        <item x="51"/>
        <item x="41"/>
        <item x="56"/>
        <item x="38"/>
        <item x="42"/>
        <item x="48"/>
        <item x="43"/>
        <item x="52"/>
        <item x="44"/>
        <item x="22"/>
        <item x="45"/>
        <item x="33"/>
        <item x="58"/>
        <item x="39"/>
        <item x="53"/>
        <item x="49"/>
        <item x="35"/>
        <item x="47"/>
        <item x="54"/>
        <item x="25"/>
        <item x="59"/>
        <item x="31"/>
        <item x="37"/>
        <item x="30"/>
        <item x="24"/>
        <item x="17"/>
        <item x="19"/>
        <item x="20"/>
        <item x="13"/>
        <item x="7"/>
        <item x="11"/>
        <item x="4"/>
        <item x="36"/>
        <item x="29"/>
        <item x="14"/>
        <item x="2"/>
        <item x="34"/>
        <item x="10"/>
        <item x="55"/>
        <item x="12"/>
        <item x="27"/>
        <item x="1"/>
        <item x="23"/>
        <item x="0"/>
        <item x="16"/>
        <item x="28"/>
        <item x="9"/>
        <item x="8"/>
        <item x="18"/>
        <item x="46"/>
        <item x="15"/>
        <item x="61"/>
        <item x="21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89">
        <item x="288"/>
        <item x="287"/>
        <item x="286"/>
        <item x="285"/>
        <item x="284"/>
        <item x="246"/>
        <item x="245"/>
        <item x="244"/>
        <item x="243"/>
        <item x="242"/>
        <item x="279"/>
        <item x="241"/>
        <item x="281"/>
        <item x="109"/>
        <item x="108"/>
        <item x="107"/>
        <item x="119"/>
        <item x="169"/>
        <item x="226"/>
        <item x="203"/>
        <item x="106"/>
        <item x="267"/>
        <item x="118"/>
        <item x="105"/>
        <item x="104"/>
        <item x="103"/>
        <item x="102"/>
        <item x="117"/>
        <item x="116"/>
        <item x="84"/>
        <item x="69"/>
        <item x="68"/>
        <item x="115"/>
        <item x="101"/>
        <item x="114"/>
        <item x="95"/>
        <item x="83"/>
        <item x="67"/>
        <item x="217"/>
        <item x="82"/>
        <item x="113"/>
        <item x="94"/>
        <item x="66"/>
        <item x="112"/>
        <item x="81"/>
        <item x="100"/>
        <item x="93"/>
        <item x="92"/>
        <item x="129"/>
        <item x="178"/>
        <item x="80"/>
        <item x="128"/>
        <item x="91"/>
        <item x="207"/>
        <item x="111"/>
        <item x="99"/>
        <item x="65"/>
        <item x="168"/>
        <item x="79"/>
        <item x="274"/>
        <item x="78"/>
        <item x="64"/>
        <item x="77"/>
        <item x="127"/>
        <item x="126"/>
        <item x="63"/>
        <item x="98"/>
        <item x="56"/>
        <item x="265"/>
        <item x="55"/>
        <item x="262"/>
        <item x="206"/>
        <item x="54"/>
        <item x="90"/>
        <item x="62"/>
        <item x="97"/>
        <item x="53"/>
        <item x="89"/>
        <item x="110"/>
        <item x="216"/>
        <item x="146"/>
        <item x="269"/>
        <item x="125"/>
        <item x="202"/>
        <item x="177"/>
        <item x="96"/>
        <item x="273"/>
        <item x="199"/>
        <item x="198"/>
        <item x="61"/>
        <item x="176"/>
        <item x="167"/>
        <item x="282"/>
        <item x="166"/>
        <item x="60"/>
        <item x="145"/>
        <item x="52"/>
        <item x="219"/>
        <item x="215"/>
        <item x="76"/>
        <item x="194"/>
        <item x="264"/>
        <item x="272"/>
        <item x="229"/>
        <item x="75"/>
        <item x="124"/>
        <item x="74"/>
        <item x="73"/>
        <item x="51"/>
        <item x="165"/>
        <item x="258"/>
        <item x="123"/>
        <item x="278"/>
        <item x="59"/>
        <item x="225"/>
        <item x="50"/>
        <item x="261"/>
        <item x="162"/>
        <item x="268"/>
        <item x="224"/>
        <item x="214"/>
        <item x="213"/>
        <item x="271"/>
        <item x="144"/>
        <item x="260"/>
        <item x="175"/>
        <item x="88"/>
        <item x="49"/>
        <item x="201"/>
        <item x="58"/>
        <item x="193"/>
        <item x="223"/>
        <item x="192"/>
        <item x="212"/>
        <item x="263"/>
        <item x="174"/>
        <item x="257"/>
        <item x="143"/>
        <item x="280"/>
        <item x="218"/>
        <item x="211"/>
        <item x="277"/>
        <item x="48"/>
        <item x="72"/>
        <item x="222"/>
        <item x="142"/>
        <item x="141"/>
        <item x="283"/>
        <item x="210"/>
        <item x="87"/>
        <item x="205"/>
        <item x="122"/>
        <item x="161"/>
        <item x="191"/>
        <item x="240"/>
        <item x="47"/>
        <item x="276"/>
        <item x="239"/>
        <item x="266"/>
        <item x="253"/>
        <item x="160"/>
        <item x="86"/>
        <item x="46"/>
        <item x="256"/>
        <item x="45"/>
        <item x="159"/>
        <item x="164"/>
        <item x="121"/>
        <item x="173"/>
        <item x="197"/>
        <item x="204"/>
        <item x="190"/>
        <item x="172"/>
        <item x="221"/>
        <item x="158"/>
        <item x="140"/>
        <item x="38"/>
        <item x="37"/>
        <item x="36"/>
        <item x="255"/>
        <item x="71"/>
        <item x="196"/>
        <item x="220"/>
        <item x="157"/>
        <item x="200"/>
        <item x="228"/>
        <item x="44"/>
        <item x="139"/>
        <item x="120"/>
        <item x="57"/>
        <item x="163"/>
        <item x="85"/>
        <item x="275"/>
        <item x="227"/>
        <item x="252"/>
        <item x="138"/>
        <item x="209"/>
        <item x="137"/>
        <item x="35"/>
        <item x="251"/>
        <item x="189"/>
        <item x="156"/>
        <item x="254"/>
        <item x="70"/>
        <item x="195"/>
        <item x="34"/>
        <item x="188"/>
        <item x="43"/>
        <item x="187"/>
        <item x="238"/>
        <item x="155"/>
        <item x="208"/>
        <item x="33"/>
        <item x="237"/>
        <item x="42"/>
        <item x="32"/>
        <item x="136"/>
        <item x="236"/>
        <item x="135"/>
        <item x="250"/>
        <item x="186"/>
        <item x="235"/>
        <item x="134"/>
        <item x="259"/>
        <item x="133"/>
        <item x="270"/>
        <item x="154"/>
        <item x="171"/>
        <item x="234"/>
        <item x="185"/>
        <item x="184"/>
        <item x="183"/>
        <item x="170"/>
        <item x="233"/>
        <item x="153"/>
        <item x="152"/>
        <item x="182"/>
        <item x="31"/>
        <item x="151"/>
        <item x="150"/>
        <item x="249"/>
        <item x="30"/>
        <item x="248"/>
        <item x="41"/>
        <item x="29"/>
        <item x="40"/>
        <item x="247"/>
        <item x="39"/>
        <item x="132"/>
        <item x="232"/>
        <item x="28"/>
        <item x="27"/>
        <item x="231"/>
        <item x="230"/>
        <item x="26"/>
        <item x="25"/>
        <item x="131"/>
        <item x="181"/>
        <item x="24"/>
        <item x="149"/>
        <item x="23"/>
        <item x="180"/>
        <item x="179"/>
        <item x="148"/>
        <item x="147"/>
        <item x="22"/>
        <item x="130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587">
        <item x="529"/>
        <item x="556"/>
        <item x="513"/>
        <item x="586"/>
        <item x="560"/>
        <item x="318"/>
        <item x="580"/>
        <item x="474"/>
        <item x="520"/>
        <item x="467"/>
        <item x="317"/>
        <item x="424"/>
        <item x="386"/>
        <item x="287"/>
        <item x="242"/>
        <item x="286"/>
        <item x="145"/>
        <item x="241"/>
        <item x="534"/>
        <item x="466"/>
        <item x="110"/>
        <item x="194"/>
        <item x="163"/>
        <item x="144"/>
        <item x="502"/>
        <item x="329"/>
        <item x="345"/>
        <item x="109"/>
        <item x="487"/>
        <item x="278"/>
        <item x="179"/>
        <item x="19"/>
        <item x="209"/>
        <item x="108"/>
        <item x="298"/>
        <item x="255"/>
        <item x="193"/>
        <item x="423"/>
        <item x="363"/>
        <item x="457"/>
        <item x="18"/>
        <item x="17"/>
        <item x="162"/>
        <item x="161"/>
        <item x="16"/>
        <item x="94"/>
        <item x="67"/>
        <item x="254"/>
        <item x="53"/>
        <item x="127"/>
        <item x="192"/>
        <item x="66"/>
        <item x="15"/>
        <item x="36"/>
        <item x="52"/>
        <item x="266"/>
        <item x="35"/>
        <item x="433"/>
        <item x="277"/>
        <item x="143"/>
        <item x="160"/>
        <item x="495"/>
        <item x="178"/>
        <item x="51"/>
        <item x="354"/>
        <item x="375"/>
        <item x="481"/>
        <item x="253"/>
        <item x="328"/>
        <item x="309"/>
        <item x="191"/>
        <item x="374"/>
        <item x="93"/>
        <item x="208"/>
        <item x="107"/>
        <item x="233"/>
        <item x="385"/>
        <item x="221"/>
        <item x="82"/>
        <item x="327"/>
        <item x="65"/>
        <item x="14"/>
        <item x="232"/>
        <item x="126"/>
        <item x="159"/>
        <item x="276"/>
        <item x="190"/>
        <item x="231"/>
        <item x="34"/>
        <item x="81"/>
        <item x="92"/>
        <item x="265"/>
        <item x="411"/>
        <item x="207"/>
        <item x="33"/>
        <item x="106"/>
        <item x="438"/>
        <item x="125"/>
        <item x="142"/>
        <item x="64"/>
        <item x="402"/>
        <item x="50"/>
        <item x="451"/>
        <item x="105"/>
        <item x="465"/>
        <item x="252"/>
        <item x="158"/>
        <item x="220"/>
        <item x="91"/>
        <item x="177"/>
        <item x="80"/>
        <item x="32"/>
        <item x="275"/>
        <item x="13"/>
        <item x="384"/>
        <item x="176"/>
        <item x="12"/>
        <item x="555"/>
        <item x="31"/>
        <item x="274"/>
        <item x="141"/>
        <item x="401"/>
        <item x="157"/>
        <item x="494"/>
        <item x="49"/>
        <item x="240"/>
        <item x="308"/>
        <item x="353"/>
        <item x="140"/>
        <item x="373"/>
        <item x="90"/>
        <item x="336"/>
        <item x="189"/>
        <item x="175"/>
        <item x="501"/>
        <item x="344"/>
        <item x="79"/>
        <item x="509"/>
        <item x="48"/>
        <item x="422"/>
        <item x="139"/>
        <item x="343"/>
        <item x="493"/>
        <item x="124"/>
        <item x="550"/>
        <item x="219"/>
        <item x="362"/>
        <item x="410"/>
        <item x="11"/>
        <item x="569"/>
        <item x="307"/>
        <item x="138"/>
        <item x="400"/>
        <item x="421"/>
        <item x="63"/>
        <item x="306"/>
        <item x="174"/>
        <item x="432"/>
        <item x="437"/>
        <item x="335"/>
        <item x="47"/>
        <item x="420"/>
        <item x="519"/>
        <item x="528"/>
        <item x="251"/>
        <item x="123"/>
        <item x="206"/>
        <item x="104"/>
        <item x="78"/>
        <item x="538"/>
        <item x="264"/>
        <item x="122"/>
        <item x="480"/>
        <item x="443"/>
        <item x="62"/>
        <item x="77"/>
        <item x="205"/>
        <item x="326"/>
        <item x="30"/>
        <item x="188"/>
        <item x="479"/>
        <item x="10"/>
        <item x="76"/>
        <item x="156"/>
        <item x="121"/>
        <item x="29"/>
        <item x="137"/>
        <item x="285"/>
        <item x="46"/>
        <item x="436"/>
        <item x="136"/>
        <item x="230"/>
        <item x="120"/>
        <item x="508"/>
        <item x="229"/>
        <item x="204"/>
        <item x="173"/>
        <item x="250"/>
        <item x="203"/>
        <item x="372"/>
        <item x="273"/>
        <item x="399"/>
        <item x="89"/>
        <item x="297"/>
        <item x="28"/>
        <item x="187"/>
        <item x="239"/>
        <item x="500"/>
        <item x="549"/>
        <item x="155"/>
        <item x="172"/>
        <item x="296"/>
        <item x="284"/>
        <item x="383"/>
        <item x="249"/>
        <item x="61"/>
        <item x="371"/>
        <item x="218"/>
        <item x="492"/>
        <item x="119"/>
        <item x="45"/>
        <item x="217"/>
        <item x="263"/>
        <item x="9"/>
        <item x="499"/>
        <item x="135"/>
        <item x="272"/>
        <item x="295"/>
        <item x="409"/>
        <item x="186"/>
        <item x="154"/>
        <item x="473"/>
        <item x="153"/>
        <item x="118"/>
        <item x="185"/>
        <item x="44"/>
        <item x="398"/>
        <item x="431"/>
        <item x="103"/>
        <item x="43"/>
        <item x="397"/>
        <item x="117"/>
        <item x="419"/>
        <item x="507"/>
        <item x="8"/>
        <item x="545"/>
        <item x="325"/>
        <item x="408"/>
        <item x="262"/>
        <item x="568"/>
        <item x="316"/>
        <item x="7"/>
        <item x="134"/>
        <item x="527"/>
        <item x="352"/>
        <item x="171"/>
        <item x="407"/>
        <item x="396"/>
        <item x="216"/>
        <item x="184"/>
        <item x="450"/>
        <item x="202"/>
        <item x="271"/>
        <item x="6"/>
        <item x="261"/>
        <item x="27"/>
        <item x="370"/>
        <item x="430"/>
        <item x="102"/>
        <item x="60"/>
        <item x="228"/>
        <item x="238"/>
        <item x="544"/>
        <item x="548"/>
        <item x="537"/>
        <item x="294"/>
        <item x="248"/>
        <item x="429"/>
        <item x="237"/>
        <item x="563"/>
        <item x="201"/>
        <item x="334"/>
        <item x="449"/>
        <item x="116"/>
        <item x="59"/>
        <item x="152"/>
        <item x="151"/>
        <item x="342"/>
        <item x="506"/>
        <item x="305"/>
        <item x="491"/>
        <item x="333"/>
        <item x="382"/>
        <item x="215"/>
        <item x="101"/>
        <item x="170"/>
        <item x="464"/>
        <item x="150"/>
        <item x="26"/>
        <item x="169"/>
        <item x="304"/>
        <item x="536"/>
        <item x="381"/>
        <item x="75"/>
        <item x="369"/>
        <item x="200"/>
        <item x="260"/>
        <item x="406"/>
        <item x="149"/>
        <item x="42"/>
        <item x="214"/>
        <item x="168"/>
        <item x="405"/>
        <item x="167"/>
        <item x="293"/>
        <item x="368"/>
        <item x="25"/>
        <item x="74"/>
        <item x="392"/>
        <item x="361"/>
        <item x="133"/>
        <item x="498"/>
        <item x="486"/>
        <item x="73"/>
        <item x="115"/>
        <item x="213"/>
        <item x="72"/>
        <item x="554"/>
        <item x="292"/>
        <item x="199"/>
        <item x="71"/>
        <item x="490"/>
        <item x="88"/>
        <item x="418"/>
        <item x="341"/>
        <item x="24"/>
        <item x="585"/>
        <item x="58"/>
        <item x="132"/>
        <item x="303"/>
        <item x="5"/>
        <item x="227"/>
        <item x="518"/>
        <item x="100"/>
        <item x="270"/>
        <item x="340"/>
        <item x="324"/>
        <item x="442"/>
        <item x="505"/>
        <item x="99"/>
        <item x="380"/>
        <item x="315"/>
        <item x="351"/>
        <item x="4"/>
        <item x="236"/>
        <item x="23"/>
        <item x="41"/>
        <item x="323"/>
        <item x="259"/>
        <item x="269"/>
        <item x="478"/>
        <item x="87"/>
        <item x="291"/>
        <item x="114"/>
        <item x="559"/>
        <item x="302"/>
        <item x="567"/>
        <item x="441"/>
        <item x="339"/>
        <item x="350"/>
        <item x="504"/>
        <item x="183"/>
        <item x="456"/>
        <item x="440"/>
        <item x="448"/>
        <item x="3"/>
        <item x="533"/>
        <item x="404"/>
        <item x="247"/>
        <item x="258"/>
        <item x="349"/>
        <item x="57"/>
        <item x="226"/>
        <item x="575"/>
        <item x="98"/>
        <item x="360"/>
        <item x="40"/>
        <item x="97"/>
        <item x="113"/>
        <item x="283"/>
        <item x="472"/>
        <item x="579"/>
        <item x="417"/>
        <item x="435"/>
        <item x="198"/>
        <item x="566"/>
        <item x="562"/>
        <item x="359"/>
        <item x="282"/>
        <item x="268"/>
        <item x="225"/>
        <item x="463"/>
        <item x="526"/>
        <item x="379"/>
        <item x="197"/>
        <item x="322"/>
        <item x="543"/>
        <item x="391"/>
        <item x="224"/>
        <item x="112"/>
        <item x="378"/>
        <item x="56"/>
        <item x="455"/>
        <item x="584"/>
        <item x="503"/>
        <item x="390"/>
        <item x="70"/>
        <item x="96"/>
        <item x="477"/>
        <item x="182"/>
        <item x="86"/>
        <item x="462"/>
        <item x="471"/>
        <item x="367"/>
        <item x="358"/>
        <item x="416"/>
        <item x="246"/>
        <item x="22"/>
        <item x="415"/>
        <item x="332"/>
        <item x="281"/>
        <item x="366"/>
        <item x="245"/>
        <item x="558"/>
        <item x="517"/>
        <item x="2"/>
        <item x="223"/>
        <item x="470"/>
        <item x="131"/>
        <item x="512"/>
        <item x="357"/>
        <item x="148"/>
        <item x="428"/>
        <item x="565"/>
        <item x="314"/>
        <item x="447"/>
        <item x="434"/>
        <item x="427"/>
        <item x="85"/>
        <item x="389"/>
        <item x="446"/>
        <item x="348"/>
        <item x="395"/>
        <item x="485"/>
        <item x="414"/>
        <item x="84"/>
        <item x="280"/>
        <item x="347"/>
        <item x="516"/>
        <item x="525"/>
        <item x="394"/>
        <item x="461"/>
        <item x="426"/>
        <item x="542"/>
        <item x="365"/>
        <item x="524"/>
        <item x="301"/>
        <item x="497"/>
        <item x="313"/>
        <item x="331"/>
        <item x="489"/>
        <item x="300"/>
        <item x="484"/>
        <item x="523"/>
        <item x="469"/>
        <item x="439"/>
        <item x="541"/>
        <item x="130"/>
        <item x="476"/>
        <item x="166"/>
        <item x="212"/>
        <item x="321"/>
        <item x="413"/>
        <item x="522"/>
        <item x="532"/>
        <item x="388"/>
        <item x="356"/>
        <item x="111"/>
        <item x="39"/>
        <item x="468"/>
        <item x="312"/>
        <item x="578"/>
        <item x="222"/>
        <item x="454"/>
        <item x="1"/>
        <item x="21"/>
        <item x="553"/>
        <item x="460"/>
        <item x="244"/>
        <item x="425"/>
        <item x="299"/>
        <item x="574"/>
        <item x="459"/>
        <item x="320"/>
        <item x="453"/>
        <item x="38"/>
        <item x="583"/>
        <item x="311"/>
        <item x="165"/>
        <item x="445"/>
        <item x="243"/>
        <item x="535"/>
        <item x="257"/>
        <item x="147"/>
        <item x="452"/>
        <item x="511"/>
        <item x="69"/>
        <item x="483"/>
        <item x="515"/>
        <item x="412"/>
        <item x="475"/>
        <item x="496"/>
        <item x="557"/>
        <item x="564"/>
        <item x="547"/>
        <item x="211"/>
        <item x="540"/>
        <item x="403"/>
        <item x="20"/>
        <item x="210"/>
        <item x="0"/>
        <item x="577"/>
        <item x="267"/>
        <item x="290"/>
        <item x="83"/>
        <item x="364"/>
        <item x="55"/>
        <item x="164"/>
        <item x="571"/>
        <item x="289"/>
        <item x="330"/>
        <item x="488"/>
        <item x="514"/>
        <item x="54"/>
        <item x="346"/>
        <item x="129"/>
        <item x="531"/>
        <item x="37"/>
        <item x="444"/>
        <item x="128"/>
        <item x="539"/>
        <item x="256"/>
        <item x="393"/>
        <item x="482"/>
        <item x="573"/>
        <item x="576"/>
        <item x="319"/>
        <item x="196"/>
        <item x="510"/>
        <item x="288"/>
        <item x="552"/>
        <item x="338"/>
        <item x="582"/>
        <item x="530"/>
        <item x="181"/>
        <item x="377"/>
        <item x="279"/>
        <item x="387"/>
        <item x="235"/>
        <item x="546"/>
        <item x="551"/>
        <item x="337"/>
        <item x="68"/>
        <item x="458"/>
        <item x="195"/>
        <item x="310"/>
        <item x="570"/>
        <item x="561"/>
        <item x="572"/>
        <item x="521"/>
        <item x="234"/>
        <item x="95"/>
        <item x="146"/>
        <item x="355"/>
        <item x="180"/>
        <item x="581"/>
        <item x="376"/>
      </items>
    </pivotField>
    <pivotField dataField="1" showAll="0" defaultSubtotal="0">
      <items count="194">
        <item x="52"/>
        <item x="53"/>
        <item x="54"/>
        <item x="35"/>
        <item x="44"/>
        <item x="46"/>
        <item x="34"/>
        <item x="58"/>
        <item x="36"/>
        <item x="38"/>
        <item x="61"/>
        <item x="86"/>
        <item x="81"/>
        <item x="37"/>
        <item x="68"/>
        <item x="66"/>
        <item x="47"/>
        <item x="59"/>
        <item x="79"/>
        <item x="75"/>
        <item x="80"/>
        <item x="55"/>
        <item x="18"/>
        <item x="51"/>
        <item x="67"/>
        <item x="45"/>
        <item x="129"/>
        <item x="127"/>
        <item x="23"/>
        <item x="147"/>
        <item x="103"/>
        <item x="88"/>
        <item x="26"/>
        <item x="133"/>
        <item x="152"/>
        <item x="95"/>
        <item x="122"/>
        <item x="74"/>
        <item x="96"/>
        <item x="125"/>
        <item x="97"/>
        <item x="73"/>
        <item x="65"/>
        <item x="78"/>
        <item x="101"/>
        <item x="160"/>
        <item x="64"/>
        <item x="121"/>
        <item x="83"/>
        <item x="62"/>
        <item x="119"/>
        <item x="85"/>
        <item x="84"/>
        <item x="143"/>
        <item x="166"/>
        <item x="146"/>
        <item x="109"/>
        <item x="87"/>
        <item x="193"/>
        <item x="138"/>
        <item x="49"/>
        <item x="141"/>
        <item x="108"/>
        <item x="187"/>
        <item x="31"/>
        <item x="94"/>
        <item x="128"/>
        <item x="120"/>
        <item x="33"/>
        <item x="188"/>
        <item x="142"/>
        <item x="185"/>
        <item x="93"/>
        <item x="50"/>
        <item x="19"/>
        <item x="174"/>
        <item x="181"/>
        <item x="25"/>
        <item x="63"/>
        <item x="14"/>
        <item x="150"/>
        <item x="114"/>
        <item x="156"/>
        <item x="184"/>
        <item x="32"/>
        <item x="56"/>
        <item x="43"/>
        <item x="151"/>
        <item x="153"/>
        <item x="179"/>
        <item x="192"/>
        <item x="72"/>
        <item x="175"/>
        <item x="69"/>
        <item x="182"/>
        <item x="167"/>
        <item x="105"/>
        <item x="60"/>
        <item x="172"/>
        <item x="186"/>
        <item x="161"/>
        <item x="71"/>
        <item x="190"/>
        <item x="92"/>
        <item x="180"/>
        <item x="91"/>
        <item x="168"/>
        <item x="158"/>
        <item x="112"/>
        <item x="178"/>
        <item x="183"/>
        <item x="77"/>
        <item x="137"/>
        <item x="82"/>
        <item x="107"/>
        <item x="102"/>
        <item x="48"/>
        <item x="118"/>
        <item x="136"/>
        <item x="106"/>
        <item x="70"/>
        <item x="117"/>
        <item x="115"/>
        <item x="173"/>
        <item x="191"/>
        <item x="17"/>
        <item x="124"/>
        <item x="155"/>
        <item x="154"/>
        <item x="57"/>
        <item x="162"/>
        <item x="140"/>
        <item x="189"/>
        <item x="116"/>
        <item x="135"/>
        <item x="145"/>
        <item x="76"/>
        <item x="177"/>
        <item x="149"/>
        <item x="132"/>
        <item x="30"/>
        <item x="42"/>
        <item x="39"/>
        <item x="123"/>
        <item x="169"/>
        <item x="90"/>
        <item x="89"/>
        <item x="144"/>
        <item x="148"/>
        <item x="163"/>
        <item x="139"/>
        <item x="24"/>
        <item x="29"/>
        <item x="171"/>
        <item x="104"/>
        <item x="170"/>
        <item x="126"/>
        <item x="134"/>
        <item x="176"/>
        <item x="27"/>
        <item x="41"/>
        <item x="98"/>
        <item x="113"/>
        <item x="40"/>
        <item x="165"/>
        <item x="21"/>
        <item x="164"/>
        <item x="100"/>
        <item x="159"/>
        <item x="28"/>
        <item x="157"/>
        <item x="99"/>
        <item x="16"/>
        <item x="6"/>
        <item x="12"/>
        <item x="130"/>
        <item x="111"/>
        <item x="110"/>
        <item x="131"/>
        <item x="22"/>
        <item x="13"/>
        <item x="15"/>
        <item x="20"/>
        <item x="11"/>
        <item x="3"/>
        <item x="10"/>
        <item x="5"/>
        <item x="9"/>
        <item x="2"/>
        <item x="4"/>
        <item x="7"/>
        <item x="8"/>
        <item x="1"/>
        <item x="0"/>
      </items>
    </pivotField>
    <pivotField dataField="1" showAll="0" defaultSubtotal="0">
      <items count="638">
        <item x="51"/>
        <item x="316"/>
        <item x="18"/>
        <item x="52"/>
        <item x="35"/>
        <item x="197"/>
        <item x="224"/>
        <item x="171"/>
        <item x="253"/>
        <item x="53"/>
        <item x="67"/>
        <item x="34"/>
        <item x="95"/>
        <item x="154"/>
        <item x="19"/>
        <item x="36"/>
        <item x="14"/>
        <item x="157"/>
        <item x="38"/>
        <item x="238"/>
        <item x="114"/>
        <item x="43"/>
        <item x="227"/>
        <item x="66"/>
        <item x="82"/>
        <item x="96"/>
        <item x="37"/>
        <item x="45"/>
        <item x="156"/>
        <item x="185"/>
        <item x="200"/>
        <item x="294"/>
        <item x="304"/>
        <item x="172"/>
        <item x="339"/>
        <item x="17"/>
        <item x="69"/>
        <item x="568"/>
        <item x="80"/>
        <item x="454"/>
        <item x="98"/>
        <item x="397"/>
        <item x="141"/>
        <item x="362"/>
        <item x="405"/>
        <item x="377"/>
        <item x="124"/>
        <item x="627"/>
        <item x="75"/>
        <item x="532"/>
        <item x="94"/>
        <item x="327"/>
        <item x="23"/>
        <item x="580"/>
        <item x="352"/>
        <item x="186"/>
        <item x="501"/>
        <item x="633"/>
        <item x="102"/>
        <item x="151"/>
        <item x="97"/>
        <item x="26"/>
        <item x="463"/>
        <item x="421"/>
        <item x="349"/>
        <item x="265"/>
        <item x="279"/>
        <item x="608"/>
        <item x="366"/>
        <item x="226"/>
        <item x="87"/>
        <item x="487"/>
        <item x="516"/>
        <item x="396"/>
        <item x="621"/>
        <item x="56"/>
        <item x="113"/>
        <item x="280"/>
        <item x="525"/>
        <item x="46"/>
        <item x="188"/>
        <item x="136"/>
        <item x="85"/>
        <item x="324"/>
        <item x="373"/>
        <item x="303"/>
        <item x="163"/>
        <item x="198"/>
        <item x="122"/>
        <item x="187"/>
        <item x="462"/>
        <item x="337"/>
        <item x="385"/>
        <item x="295"/>
        <item x="315"/>
        <item x="107"/>
        <item x="376"/>
        <item x="146"/>
        <item x="250"/>
        <item x="393"/>
        <item x="360"/>
        <item x="326"/>
        <item x="424"/>
        <item x="594"/>
        <item x="387"/>
        <item x="16"/>
        <item x="581"/>
        <item x="293"/>
        <item x="467"/>
        <item x="138"/>
        <item x="59"/>
        <item x="267"/>
        <item x="499"/>
        <item x="223"/>
        <item x="6"/>
        <item x="140"/>
        <item x="50"/>
        <item x="365"/>
        <item x="12"/>
        <item x="252"/>
        <item x="213"/>
        <item x="31"/>
        <item x="155"/>
        <item x="508"/>
        <item x="193"/>
        <item x="211"/>
        <item x="343"/>
        <item x="44"/>
        <item x="33"/>
        <item x="388"/>
        <item x="170"/>
        <item x="291"/>
        <item x="484"/>
        <item x="272"/>
        <item x="515"/>
        <item x="607"/>
        <item x="112"/>
        <item x="123"/>
        <item x="325"/>
        <item x="168"/>
        <item x="330"/>
        <item x="357"/>
        <item x="386"/>
        <item x="444"/>
        <item x="99"/>
        <item x="25"/>
        <item x="247"/>
        <item x="498"/>
        <item x="13"/>
        <item x="76"/>
        <item x="241"/>
        <item x="351"/>
        <item x="68"/>
        <item x="139"/>
        <item x="305"/>
        <item x="453"/>
        <item x="32"/>
        <item x="292"/>
        <item x="486"/>
        <item x="212"/>
        <item x="500"/>
        <item x="254"/>
        <item x="332"/>
        <item x="64"/>
        <item x="569"/>
        <item x="404"/>
        <item x="204"/>
        <item x="334"/>
        <item x="322"/>
        <item x="15"/>
        <item x="378"/>
        <item x="79"/>
        <item x="105"/>
        <item x="258"/>
        <item x="210"/>
        <item x="199"/>
        <item x="524"/>
        <item x="116"/>
        <item x="414"/>
        <item x="458"/>
        <item x="153"/>
        <item x="169"/>
        <item x="192"/>
        <item x="355"/>
        <item x="57"/>
        <item x="429"/>
        <item x="266"/>
        <item x="403"/>
        <item x="548"/>
        <item x="415"/>
        <item x="471"/>
        <item x="228"/>
        <item x="184"/>
        <item x="257"/>
        <item x="364"/>
        <item x="485"/>
        <item x="152"/>
        <item x="323"/>
        <item x="445"/>
        <item x="264"/>
        <item x="183"/>
        <item x="593"/>
        <item x="338"/>
        <item x="277"/>
        <item x="110"/>
        <item x="239"/>
        <item x="90"/>
        <item x="11"/>
        <item x="251"/>
        <item x="225"/>
        <item x="81"/>
        <item x="240"/>
        <item x="162"/>
        <item x="132"/>
        <item x="125"/>
        <item x="309"/>
        <item x="507"/>
        <item x="3"/>
        <item x="626"/>
        <item x="232"/>
        <item x="111"/>
        <item x="363"/>
        <item x="614"/>
        <item x="350"/>
        <item x="437"/>
        <item x="494"/>
        <item x="93"/>
        <item x="428"/>
        <item x="402"/>
        <item x="133"/>
        <item x="289"/>
        <item x="505"/>
        <item x="539"/>
        <item x="374"/>
        <item x="236"/>
        <item x="413"/>
        <item x="391"/>
        <item x="179"/>
        <item x="137"/>
        <item x="436"/>
        <item x="234"/>
        <item x="368"/>
        <item x="135"/>
        <item x="65"/>
        <item x="566"/>
        <item x="288"/>
        <item x="604"/>
        <item x="375"/>
        <item x="346"/>
        <item x="180"/>
        <item x="482"/>
        <item x="278"/>
        <item x="331"/>
        <item x="78"/>
        <item x="523"/>
        <item x="191"/>
        <item x="470"/>
        <item x="443"/>
        <item x="529"/>
        <item x="84"/>
        <item x="106"/>
        <item x="245"/>
        <item x="547"/>
        <item x="384"/>
        <item x="290"/>
        <item x="432"/>
        <item x="10"/>
        <item x="92"/>
        <item x="401"/>
        <item x="618"/>
        <item x="287"/>
        <item x="48"/>
        <item x="468"/>
        <item x="586"/>
        <item x="400"/>
        <item x="237"/>
        <item x="602"/>
        <item x="5"/>
        <item x="495"/>
        <item x="483"/>
        <item x="579"/>
        <item x="220"/>
        <item x="181"/>
        <item x="469"/>
        <item x="160"/>
        <item x="637"/>
        <item x="452"/>
        <item x="148"/>
        <item x="372"/>
        <item x="244"/>
        <item x="496"/>
        <item x="519"/>
        <item x="209"/>
        <item x="263"/>
        <item x="632"/>
        <item x="216"/>
        <item x="578"/>
        <item x="108"/>
        <item x="302"/>
        <item x="613"/>
        <item x="497"/>
        <item x="178"/>
        <item x="560"/>
        <item x="196"/>
        <item x="399"/>
        <item x="120"/>
        <item x="314"/>
        <item x="412"/>
        <item x="460"/>
        <item x="109"/>
        <item x="276"/>
        <item x="49"/>
        <item x="74"/>
        <item x="540"/>
        <item x="600"/>
        <item x="222"/>
        <item x="620"/>
        <item x="30"/>
        <item x="310"/>
        <item x="182"/>
        <item x="248"/>
        <item x="91"/>
        <item x="134"/>
        <item x="514"/>
        <item x="416"/>
        <item x="546"/>
        <item x="195"/>
        <item x="434"/>
        <item x="564"/>
        <item x="577"/>
        <item x="440"/>
        <item x="205"/>
        <item x="418"/>
        <item x="361"/>
        <item x="208"/>
        <item x="167"/>
        <item x="275"/>
        <item x="321"/>
        <item x="283"/>
        <item x="358"/>
        <item x="394"/>
        <item x="131"/>
        <item x="521"/>
        <item x="307"/>
        <item x="273"/>
        <item x="313"/>
        <item x="491"/>
        <item x="219"/>
        <item x="176"/>
        <item x="166"/>
        <item x="575"/>
        <item x="77"/>
        <item x="164"/>
        <item x="217"/>
        <item x="348"/>
        <item x="9"/>
        <item x="449"/>
        <item x="2"/>
        <item x="601"/>
        <item x="246"/>
        <item x="259"/>
        <item x="506"/>
        <item x="333"/>
        <item x="270"/>
        <item x="425"/>
        <item x="24"/>
        <item x="150"/>
        <item x="466"/>
        <item x="29"/>
        <item x="347"/>
        <item x="271"/>
        <item x="63"/>
        <item x="130"/>
        <item x="612"/>
        <item x="145"/>
        <item x="235"/>
        <item x="4"/>
        <item x="320"/>
        <item x="262"/>
        <item x="7"/>
        <item x="427"/>
        <item x="545"/>
        <item x="451"/>
        <item x="408"/>
        <item x="231"/>
        <item x="395"/>
        <item x="442"/>
        <item x="149"/>
        <item x="435"/>
        <item x="218"/>
        <item x="595"/>
        <item x="274"/>
        <item x="585"/>
        <item x="410"/>
        <item x="299"/>
        <item x="448"/>
        <item x="62"/>
        <item x="175"/>
        <item x="476"/>
        <item x="503"/>
        <item x="335"/>
        <item x="382"/>
        <item x="88"/>
        <item x="459"/>
        <item x="207"/>
        <item x="165"/>
        <item x="588"/>
        <item x="284"/>
        <item x="478"/>
        <item x="565"/>
        <item x="558"/>
        <item x="285"/>
        <item x="606"/>
        <item x="60"/>
        <item x="194"/>
        <item x="409"/>
        <item x="203"/>
        <item x="636"/>
        <item x="221"/>
        <item x="433"/>
        <item x="550"/>
        <item x="534"/>
        <item x="520"/>
        <item x="563"/>
        <item x="465"/>
        <item x="531"/>
        <item x="27"/>
        <item x="447"/>
        <item x="420"/>
        <item x="344"/>
        <item x="522"/>
        <item x="512"/>
        <item x="455"/>
        <item x="544"/>
        <item x="492"/>
        <item x="177"/>
        <item x="336"/>
        <item x="341"/>
        <item x="619"/>
        <item x="411"/>
        <item x="554"/>
        <item x="536"/>
        <item x="439"/>
        <item x="598"/>
        <item x="592"/>
        <item x="119"/>
        <item x="631"/>
        <item x="8"/>
        <item x="286"/>
        <item x="513"/>
        <item x="260"/>
        <item x="461"/>
        <item x="311"/>
        <item x="301"/>
        <item x="474"/>
        <item x="233"/>
        <item x="567"/>
        <item x="530"/>
        <item x="118"/>
        <item x="538"/>
        <item x="383"/>
        <item x="261"/>
        <item x="477"/>
        <item x="611"/>
        <item x="249"/>
        <item x="117"/>
        <item x="47"/>
        <item x="381"/>
        <item x="493"/>
        <item x="129"/>
        <item x="590"/>
        <item x="605"/>
        <item x="625"/>
        <item x="553"/>
        <item x="573"/>
        <item x="128"/>
        <item x="21"/>
        <item x="206"/>
        <item x="475"/>
        <item x="584"/>
        <item x="345"/>
        <item x="556"/>
        <item x="359"/>
        <item x="300"/>
        <item x="489"/>
        <item x="356"/>
        <item x="147"/>
        <item x="370"/>
        <item x="426"/>
        <item x="89"/>
        <item x="609"/>
        <item x="312"/>
        <item x="392"/>
        <item x="296"/>
        <item x="61"/>
        <item x="510"/>
        <item x="537"/>
        <item x="161"/>
        <item x="28"/>
        <item x="542"/>
        <item x="559"/>
        <item x="371"/>
        <item x="630"/>
        <item x="557"/>
        <item x="552"/>
        <item x="101"/>
        <item x="54"/>
        <item x="599"/>
        <item x="527"/>
        <item x="623"/>
        <item x="543"/>
        <item x="518"/>
        <item x="104"/>
        <item x="551"/>
        <item x="570"/>
        <item x="480"/>
        <item x="103"/>
        <item x="419"/>
        <item x="42"/>
        <item x="481"/>
        <item x="39"/>
        <item x="142"/>
        <item x="450"/>
        <item x="589"/>
        <item x="319"/>
        <item x="73"/>
        <item x="576"/>
        <item x="318"/>
        <item x="473"/>
        <item x="380"/>
        <item x="70"/>
        <item x="58"/>
        <item x="591"/>
        <item x="490"/>
        <item x="511"/>
        <item x="535"/>
        <item x="635"/>
        <item x="617"/>
        <item x="571"/>
        <item x="624"/>
        <item x="472"/>
        <item x="369"/>
        <item x="407"/>
        <item x="628"/>
        <item x="441"/>
        <item x="72"/>
        <item x="562"/>
        <item x="457"/>
        <item x="423"/>
        <item x="549"/>
        <item x="215"/>
        <item x="488"/>
        <item x="22"/>
        <item x="342"/>
        <item x="127"/>
        <item x="282"/>
        <item x="446"/>
        <item x="126"/>
        <item x="597"/>
        <item x="317"/>
        <item x="144"/>
        <item x="121"/>
        <item x="610"/>
        <item x="504"/>
        <item x="555"/>
        <item x="456"/>
        <item x="629"/>
        <item x="541"/>
        <item x="281"/>
        <item x="528"/>
        <item x="86"/>
        <item x="390"/>
        <item x="596"/>
        <item x="509"/>
        <item x="615"/>
        <item x="174"/>
        <item x="1"/>
        <item x="574"/>
        <item x="517"/>
        <item x="308"/>
        <item x="561"/>
        <item x="269"/>
        <item x="41"/>
        <item x="438"/>
        <item x="616"/>
        <item x="256"/>
        <item x="502"/>
        <item x="572"/>
        <item x="622"/>
        <item x="268"/>
        <item x="143"/>
        <item x="583"/>
        <item x="214"/>
        <item x="306"/>
        <item x="533"/>
        <item x="406"/>
        <item x="587"/>
        <item x="431"/>
        <item x="298"/>
        <item x="479"/>
        <item x="0"/>
        <item x="230"/>
        <item x="367"/>
        <item x="242"/>
        <item x="297"/>
        <item x="582"/>
        <item x="40"/>
        <item x="526"/>
        <item x="201"/>
        <item x="71"/>
        <item x="159"/>
        <item x="389"/>
        <item x="158"/>
        <item x="329"/>
        <item x="464"/>
        <item x="417"/>
        <item x="202"/>
        <item x="379"/>
        <item x="243"/>
        <item x="255"/>
        <item x="173"/>
        <item x="340"/>
        <item x="603"/>
        <item x="354"/>
        <item x="190"/>
        <item x="430"/>
        <item x="353"/>
        <item x="634"/>
        <item x="55"/>
        <item x="422"/>
        <item x="20"/>
        <item x="229"/>
        <item x="328"/>
        <item x="189"/>
        <item x="83"/>
        <item x="398"/>
        <item x="115"/>
        <item x="100"/>
      </items>
    </pivotField>
    <pivotField dataField="1" showAll="0" defaultSubtotal="0">
      <items count="216">
        <item x="201"/>
        <item x="200"/>
        <item x="185"/>
        <item x="117"/>
        <item x="199"/>
        <item x="113"/>
        <item x="118"/>
        <item x="151"/>
        <item x="116"/>
        <item x="105"/>
        <item x="91"/>
        <item x="150"/>
        <item x="66"/>
        <item x="106"/>
        <item x="115"/>
        <item x="102"/>
        <item x="99"/>
        <item x="77"/>
        <item x="85"/>
        <item x="103"/>
        <item x="97"/>
        <item x="92"/>
        <item x="94"/>
        <item x="104"/>
        <item x="68"/>
        <item x="95"/>
        <item x="93"/>
        <item x="49"/>
        <item x="63"/>
        <item x="67"/>
        <item x="74"/>
        <item x="110"/>
        <item x="86"/>
        <item x="70"/>
        <item x="84"/>
        <item x="81"/>
        <item x="82"/>
        <item x="72"/>
        <item x="73"/>
        <item x="96"/>
        <item x="83"/>
        <item x="71"/>
        <item x="109"/>
        <item x="114"/>
        <item x="157"/>
        <item x="65"/>
        <item x="101"/>
        <item x="69"/>
        <item x="112"/>
        <item x="57"/>
        <item x="80"/>
        <item x="60"/>
        <item x="54"/>
        <item x="100"/>
        <item x="149"/>
        <item x="180"/>
        <item x="51"/>
        <item x="108"/>
        <item x="188"/>
        <item x="187"/>
        <item x="76"/>
        <item x="152"/>
        <item x="176"/>
        <item x="183"/>
        <item x="197"/>
        <item x="58"/>
        <item x="177"/>
        <item x="214"/>
        <item x="163"/>
        <item x="98"/>
        <item x="56"/>
        <item x="184"/>
        <item x="111"/>
        <item x="55"/>
        <item x="107"/>
        <item x="78"/>
        <item x="174"/>
        <item x="215"/>
        <item x="175"/>
        <item x="207"/>
        <item x="182"/>
        <item x="212"/>
        <item x="130"/>
        <item x="198"/>
        <item x="50"/>
        <item x="132"/>
        <item x="133"/>
        <item x="131"/>
        <item x="128"/>
        <item x="173"/>
        <item x="28"/>
        <item x="126"/>
        <item x="43"/>
        <item x="53"/>
        <item x="213"/>
        <item x="196"/>
        <item x="211"/>
        <item x="79"/>
        <item x="195"/>
        <item x="148"/>
        <item x="64"/>
        <item x="170"/>
        <item x="164"/>
        <item x="121"/>
        <item x="52"/>
        <item x="155"/>
        <item x="147"/>
        <item x="169"/>
        <item x="179"/>
        <item x="62"/>
        <item x="210"/>
        <item x="190"/>
        <item x="209"/>
        <item x="146"/>
        <item x="90"/>
        <item x="41"/>
        <item x="165"/>
        <item x="156"/>
        <item x="206"/>
        <item x="172"/>
        <item x="153"/>
        <item x="208"/>
        <item x="181"/>
        <item x="42"/>
        <item x="144"/>
        <item x="145"/>
        <item x="167"/>
        <item x="129"/>
        <item x="61"/>
        <item x="140"/>
        <item x="171"/>
        <item x="205"/>
        <item x="59"/>
        <item x="125"/>
        <item x="89"/>
        <item x="48"/>
        <item x="46"/>
        <item x="87"/>
        <item x="178"/>
        <item x="186"/>
        <item x="141"/>
        <item x="135"/>
        <item x="154"/>
        <item x="158"/>
        <item x="75"/>
        <item x="88"/>
        <item x="143"/>
        <item x="47"/>
        <item x="123"/>
        <item x="120"/>
        <item x="44"/>
        <item x="168"/>
        <item x="127"/>
        <item x="37"/>
        <item x="38"/>
        <item x="39"/>
        <item x="194"/>
        <item x="36"/>
        <item x="29"/>
        <item x="193"/>
        <item x="30"/>
        <item x="204"/>
        <item x="32"/>
        <item x="161"/>
        <item x="33"/>
        <item x="45"/>
        <item x="139"/>
        <item x="134"/>
        <item x="166"/>
        <item x="35"/>
        <item x="27"/>
        <item x="34"/>
        <item x="142"/>
        <item x="203"/>
        <item x="124"/>
        <item x="192"/>
        <item x="122"/>
        <item x="22"/>
        <item x="162"/>
        <item x="40"/>
        <item x="137"/>
        <item x="160"/>
        <item x="191"/>
        <item x="31"/>
        <item x="138"/>
        <item x="20"/>
        <item x="202"/>
        <item x="189"/>
        <item x="24"/>
        <item x="159"/>
        <item x="25"/>
        <item x="26"/>
        <item x="136"/>
        <item x="15"/>
        <item x="8"/>
        <item x="119"/>
        <item x="23"/>
        <item x="16"/>
        <item x="21"/>
        <item x="19"/>
        <item x="17"/>
        <item x="18"/>
        <item x="9"/>
        <item x="13"/>
        <item x="10"/>
        <item x="7"/>
        <item x="11"/>
        <item x="12"/>
        <item x="14"/>
        <item x="1"/>
        <item x="0"/>
        <item x="4"/>
        <item x="6"/>
        <item x="5"/>
        <item x="3"/>
        <item x="2"/>
      </items>
    </pivotField>
    <pivotField dataField="1" showAll="0" defaultSubtotal="0">
      <items count="557">
        <item x="309"/>
        <item x="405"/>
        <item x="442"/>
        <item x="398"/>
        <item x="272"/>
        <item x="142"/>
        <item x="478"/>
        <item x="469"/>
        <item x="419"/>
        <item x="308"/>
        <item x="435"/>
        <item x="463"/>
        <item x="230"/>
        <item x="408"/>
        <item x="369"/>
        <item x="137"/>
        <item x="95"/>
        <item x="237"/>
        <item x="216"/>
        <item x="510"/>
        <item x="433"/>
        <item x="549"/>
        <item x="518"/>
        <item x="144"/>
        <item x="192"/>
        <item x="243"/>
        <item x="314"/>
        <item x="428"/>
        <item x="479"/>
        <item x="48"/>
        <item x="260"/>
        <item x="197"/>
        <item x="413"/>
        <item x="306"/>
        <item x="275"/>
        <item x="527"/>
        <item x="372"/>
        <item x="536"/>
        <item x="181"/>
        <item x="461"/>
        <item x="28"/>
        <item x="443"/>
        <item x="421"/>
        <item x="316"/>
        <item x="224"/>
        <item x="274"/>
        <item x="363"/>
        <item x="15"/>
        <item x="8"/>
        <item x="115"/>
        <item x="500"/>
        <item x="264"/>
        <item x="554"/>
        <item x="436"/>
        <item x="249"/>
        <item x="74"/>
        <item x="125"/>
        <item x="541"/>
        <item x="240"/>
        <item x="462"/>
        <item x="381"/>
        <item x="85"/>
        <item x="441"/>
        <item x="450"/>
        <item x="486"/>
        <item x="152"/>
        <item x="317"/>
        <item x="97"/>
        <item x="307"/>
        <item x="172"/>
        <item x="427"/>
        <item x="193"/>
        <item x="100"/>
        <item x="407"/>
        <item x="16"/>
        <item x="548"/>
        <item x="184"/>
        <item x="217"/>
        <item x="340"/>
        <item x="204"/>
        <item x="361"/>
        <item x="289"/>
        <item x="468"/>
        <item x="266"/>
        <item x="56"/>
        <item x="301"/>
        <item x="506"/>
        <item x="288"/>
        <item x="101"/>
        <item x="299"/>
        <item x="116"/>
        <item x="53"/>
        <item x="404"/>
        <item x="99"/>
        <item x="339"/>
        <item x="191"/>
        <item x="277"/>
        <item x="65"/>
        <item x="80"/>
        <item x="164"/>
        <item x="290"/>
        <item x="139"/>
        <item x="50"/>
        <item x="241"/>
        <item x="174"/>
        <item x="198"/>
        <item x="231"/>
        <item x="220"/>
        <item x="276"/>
        <item x="261"/>
        <item x="344"/>
        <item x="112"/>
        <item x="215"/>
        <item x="373"/>
        <item x="291"/>
        <item x="194"/>
        <item x="179"/>
        <item x="420"/>
        <item x="173"/>
        <item x="322"/>
        <item x="350"/>
        <item x="158"/>
        <item x="61"/>
        <item x="87"/>
        <item x="108"/>
        <item x="319"/>
        <item x="157"/>
        <item x="357"/>
        <item x="159"/>
        <item x="252"/>
        <item x="64"/>
        <item x="219"/>
        <item x="37"/>
        <item x="160"/>
        <item x="19"/>
        <item x="38"/>
        <item x="17"/>
        <item x="71"/>
        <item x="146"/>
        <item x="18"/>
        <item x="9"/>
        <item x="36"/>
        <item x="351"/>
        <item x="155"/>
        <item x="170"/>
        <item x="154"/>
        <item x="29"/>
        <item x="388"/>
        <item x="55"/>
        <item x="341"/>
        <item x="209"/>
        <item x="242"/>
        <item x="30"/>
        <item x="86"/>
        <item x="329"/>
        <item x="92"/>
        <item x="278"/>
        <item x="380"/>
        <item x="54"/>
        <item x="32"/>
        <item x="67"/>
        <item x="328"/>
        <item x="300"/>
        <item x="113"/>
        <item x="196"/>
        <item x="455"/>
        <item x="207"/>
        <item x="33"/>
        <item x="13"/>
        <item x="98"/>
        <item x="263"/>
        <item x="227"/>
        <item x="265"/>
        <item x="539"/>
        <item x="399"/>
        <item x="81"/>
        <item x="102"/>
        <item x="114"/>
        <item x="131"/>
        <item x="379"/>
        <item x="10"/>
        <item x="82"/>
        <item x="7"/>
        <item x="11"/>
        <item x="248"/>
        <item x="318"/>
        <item x="516"/>
        <item x="330"/>
        <item x="103"/>
        <item x="69"/>
        <item x="208"/>
        <item x="168"/>
        <item x="70"/>
        <item x="12"/>
        <item x="35"/>
        <item x="130"/>
        <item x="49"/>
        <item x="509"/>
        <item x="336"/>
        <item x="27"/>
        <item x="283"/>
        <item x="315"/>
        <item x="34"/>
        <item x="293"/>
        <item x="84"/>
        <item x="199"/>
        <item x="262"/>
        <item x="88"/>
        <item x="145"/>
        <item x="68"/>
        <item x="83"/>
        <item x="14"/>
        <item x="129"/>
        <item x="352"/>
        <item x="1"/>
        <item x="51"/>
        <item x="233"/>
        <item x="229"/>
        <item x="490"/>
        <item x="253"/>
        <item x="42"/>
        <item x="393"/>
        <item x="472"/>
        <item x="22"/>
        <item x="406"/>
        <item x="338"/>
        <item x="162"/>
        <item x="128"/>
        <item x="143"/>
        <item x="218"/>
        <item x="250"/>
        <item x="63"/>
        <item x="156"/>
        <item x="349"/>
        <item x="273"/>
        <item x="126"/>
        <item x="171"/>
        <item x="195"/>
        <item x="238"/>
        <item x="484"/>
        <item x="362"/>
        <item x="343"/>
        <item x="371"/>
        <item x="66"/>
        <item x="127"/>
        <item x="440"/>
        <item x="389"/>
        <item x="183"/>
        <item x="355"/>
        <item x="287"/>
        <item x="501"/>
        <item x="52"/>
        <item x="244"/>
        <item x="384"/>
        <item x="324"/>
        <item x="470"/>
        <item x="460"/>
        <item x="0"/>
        <item x="221"/>
        <item x="153"/>
        <item x="186"/>
        <item x="79"/>
        <item x="370"/>
        <item x="417"/>
        <item x="96"/>
        <item x="254"/>
        <item x="31"/>
        <item x="492"/>
        <item x="58"/>
        <item x="239"/>
        <item x="383"/>
        <item x="124"/>
        <item x="326"/>
        <item x="449"/>
        <item x="364"/>
        <item x="182"/>
        <item x="320"/>
        <item x="228"/>
        <item x="123"/>
        <item x="297"/>
        <item x="402"/>
        <item x="531"/>
        <item x="356"/>
        <item x="403"/>
        <item x="40"/>
        <item x="464"/>
        <item x="480"/>
        <item x="122"/>
        <item x="280"/>
        <item x="232"/>
        <item x="206"/>
        <item x="20"/>
        <item x="432"/>
        <item x="332"/>
        <item x="150"/>
        <item x="305"/>
        <item x="414"/>
        <item x="281"/>
        <item x="41"/>
        <item x="425"/>
        <item x="507"/>
        <item x="185"/>
        <item x="387"/>
        <item x="494"/>
        <item x="148"/>
        <item x="251"/>
        <item x="121"/>
        <item x="141"/>
        <item x="167"/>
        <item x="547"/>
        <item x="73"/>
        <item x="178"/>
        <item x="412"/>
        <item x="521"/>
        <item x="285"/>
        <item x="213"/>
        <item x="418"/>
        <item x="386"/>
        <item x="426"/>
        <item x="498"/>
        <item x="161"/>
        <item x="286"/>
        <item x="411"/>
        <item x="105"/>
        <item x="488"/>
        <item x="529"/>
        <item x="348"/>
        <item x="284"/>
        <item x="553"/>
        <item x="94"/>
        <item x="298"/>
        <item x="331"/>
        <item x="515"/>
        <item x="136"/>
        <item x="535"/>
        <item x="202"/>
        <item x="335"/>
        <item x="180"/>
        <item x="377"/>
        <item x="47"/>
        <item x="45"/>
        <item x="140"/>
        <item x="538"/>
        <item x="296"/>
        <item x="169"/>
        <item x="471"/>
        <item x="134"/>
        <item x="117"/>
        <item x="517"/>
        <item x="24"/>
        <item x="110"/>
        <item x="175"/>
        <item x="135"/>
        <item x="346"/>
        <item x="514"/>
        <item x="502"/>
        <item x="430"/>
        <item x="483"/>
        <item x="458"/>
        <item x="325"/>
        <item x="225"/>
        <item x="236"/>
        <item x="454"/>
        <item x="75"/>
        <item x="138"/>
        <item x="205"/>
        <item x="246"/>
        <item x="476"/>
        <item x="46"/>
        <item x="511"/>
        <item x="337"/>
        <item x="214"/>
        <item x="282"/>
        <item x="4"/>
        <item x="523"/>
        <item x="258"/>
        <item x="104"/>
        <item x="212"/>
        <item x="495"/>
        <item x="111"/>
        <item x="119"/>
        <item x="360"/>
        <item x="448"/>
        <item x="43"/>
        <item x="271"/>
        <item x="550"/>
        <item x="190"/>
        <item x="485"/>
        <item x="327"/>
        <item x="270"/>
        <item x="493"/>
        <item x="6"/>
        <item x="133"/>
        <item x="385"/>
        <item x="367"/>
        <item x="392"/>
        <item x="465"/>
        <item x="165"/>
        <item x="397"/>
        <item x="540"/>
        <item x="434"/>
        <item x="247"/>
        <item x="415"/>
        <item x="467"/>
        <item x="347"/>
        <item x="424"/>
        <item x="453"/>
        <item x="188"/>
        <item x="151"/>
        <item x="25"/>
        <item x="437"/>
        <item x="259"/>
        <item x="26"/>
        <item x="544"/>
        <item x="5"/>
        <item x="530"/>
        <item x="353"/>
        <item x="149"/>
        <item x="109"/>
        <item x="120"/>
        <item x="226"/>
        <item x="475"/>
        <item x="166"/>
        <item x="295"/>
        <item x="459"/>
        <item x="504"/>
        <item x="78"/>
        <item x="416"/>
        <item x="499"/>
        <item x="203"/>
        <item x="76"/>
        <item x="489"/>
        <item x="551"/>
        <item x="201"/>
        <item x="477"/>
        <item x="44"/>
        <item x="77"/>
        <item x="546"/>
        <item x="482"/>
        <item x="269"/>
        <item x="302"/>
        <item x="410"/>
        <item x="189"/>
        <item x="447"/>
        <item x="313"/>
        <item x="62"/>
        <item x="524"/>
        <item x="187"/>
        <item x="177"/>
        <item x="375"/>
        <item x="446"/>
        <item x="118"/>
        <item x="534"/>
        <item x="334"/>
        <item x="376"/>
        <item x="211"/>
        <item x="505"/>
        <item x="366"/>
        <item x="93"/>
        <item x="256"/>
        <item x="294"/>
        <item x="452"/>
        <item x="23"/>
        <item x="439"/>
        <item x="555"/>
        <item x="245"/>
        <item x="257"/>
        <item x="222"/>
        <item x="60"/>
        <item x="391"/>
        <item x="323"/>
        <item x="368"/>
        <item x="333"/>
        <item x="3"/>
        <item x="543"/>
        <item x="223"/>
        <item x="409"/>
        <item x="431"/>
        <item x="390"/>
        <item x="533"/>
        <item x="311"/>
        <item x="176"/>
        <item x="423"/>
        <item x="107"/>
        <item x="210"/>
        <item x="345"/>
        <item x="508"/>
        <item x="400"/>
        <item x="378"/>
        <item x="444"/>
        <item x="496"/>
        <item x="132"/>
        <item x="401"/>
        <item x="234"/>
        <item x="2"/>
        <item x="106"/>
        <item x="354"/>
        <item x="312"/>
        <item x="235"/>
        <item x="321"/>
        <item x="396"/>
        <item x="512"/>
        <item x="21"/>
        <item x="395"/>
        <item x="268"/>
        <item x="91"/>
        <item x="365"/>
        <item x="59"/>
        <item x="359"/>
        <item x="89"/>
        <item x="39"/>
        <item x="528"/>
        <item x="456"/>
        <item x="358"/>
        <item x="255"/>
        <item x="200"/>
        <item x="57"/>
        <item x="292"/>
        <item x="374"/>
        <item x="90"/>
        <item x="520"/>
        <item x="537"/>
        <item x="525"/>
        <item x="466"/>
        <item x="445"/>
        <item x="556"/>
        <item x="545"/>
        <item x="163"/>
        <item x="72"/>
        <item x="422"/>
        <item x="342"/>
        <item x="394"/>
        <item x="474"/>
        <item x="519"/>
        <item x="481"/>
        <item x="532"/>
        <item x="429"/>
        <item x="279"/>
        <item x="304"/>
        <item x="552"/>
        <item x="310"/>
        <item x="382"/>
        <item x="451"/>
        <item x="303"/>
        <item x="497"/>
        <item x="487"/>
        <item x="267"/>
        <item x="457"/>
        <item x="513"/>
        <item x="503"/>
        <item x="147"/>
        <item x="491"/>
        <item x="473"/>
        <item x="438"/>
        <item x="542"/>
        <item x="526"/>
        <item x="522"/>
      </items>
    </pivotField>
    <pivotField dataField="1" showAll="0" defaultSubtotal="0">
      <items count="8">
        <item x="4"/>
        <item x="1"/>
        <item x="7"/>
        <item x="0"/>
        <item x="6"/>
        <item x="3"/>
        <item x="5"/>
        <item x="2"/>
      </items>
    </pivotField>
  </pivotFields>
  <rowFields count="3">
    <field x="2"/>
    <field x="6"/>
    <field x="5"/>
  </rowFields>
  <rowItems count="1436">
    <i>
      <x/>
    </i>
    <i r="1">
      <x/>
      <x v="52"/>
    </i>
    <i r="1">
      <x v="1"/>
      <x v="50"/>
    </i>
    <i r="1">
      <x v="2"/>
      <x v="44"/>
    </i>
    <i r="1">
      <x v="3"/>
      <x v="1"/>
    </i>
    <i r="1">
      <x v="4"/>
      <x v="40"/>
    </i>
    <i r="1">
      <x v="5"/>
      <x v="2"/>
    </i>
    <i r="1">
      <x v="6"/>
      <x v="3"/>
    </i>
    <i r="1">
      <x v="7"/>
      <x v="38"/>
    </i>
    <i r="1">
      <x v="8"/>
      <x v="56"/>
    </i>
    <i r="1">
      <x v="9"/>
      <x v="55"/>
    </i>
    <i r="1">
      <x v="10"/>
      <x v="46"/>
    </i>
    <i r="1">
      <x v="11"/>
      <x v="39"/>
    </i>
    <i r="1">
      <x v="12"/>
      <x v="48"/>
    </i>
    <i r="1">
      <x v="13"/>
      <x v="37"/>
    </i>
    <i r="1">
      <x v="14"/>
      <x v="43"/>
    </i>
    <i r="1">
      <x v="15"/>
      <x v="59"/>
    </i>
    <i r="1">
      <x v="16"/>
      <x v="53"/>
    </i>
    <i r="1">
      <x v="17"/>
      <x v="34"/>
    </i>
    <i r="1">
      <x v="18"/>
      <x v="57"/>
    </i>
    <i r="1">
      <x v="19"/>
      <x v="35"/>
    </i>
    <i t="blank">
      <x/>
    </i>
    <i>
      <x v="1"/>
    </i>
    <i r="1">
      <x/>
      <x v="52"/>
    </i>
    <i r="1">
      <x v="1"/>
      <x v="44"/>
    </i>
    <i r="1">
      <x v="2"/>
      <x v="50"/>
    </i>
    <i r="1">
      <x v="3"/>
      <x v="1"/>
    </i>
    <i r="1">
      <x v="4"/>
      <x v="40"/>
    </i>
    <i r="1">
      <x v="5"/>
      <x v="2"/>
    </i>
    <i r="1">
      <x v="6"/>
      <x v="3"/>
    </i>
    <i r="1">
      <x v="7"/>
      <x v="46"/>
    </i>
    <i r="1">
      <x v="8"/>
      <x v="56"/>
    </i>
    <i r="1">
      <x v="9"/>
      <x v="55"/>
    </i>
    <i r="1">
      <x v="10"/>
      <x v="38"/>
    </i>
    <i r="1">
      <x v="11"/>
      <x v="48"/>
    </i>
    <i r="1">
      <x v="12"/>
      <x v="39"/>
    </i>
    <i r="1">
      <x v="13"/>
      <x v="37"/>
    </i>
    <i r="1">
      <x v="14"/>
      <x v="43"/>
    </i>
    <i r="1">
      <x v="15"/>
      <x v="35"/>
    </i>
    <i r="1">
      <x v="16"/>
      <x v="57"/>
    </i>
    <i r="1">
      <x v="17"/>
      <x v="36"/>
    </i>
    <i r="2">
      <x v="61"/>
    </i>
    <i r="1">
      <x v="19"/>
      <x v="34"/>
    </i>
    <i t="blank">
      <x v="1"/>
    </i>
    <i>
      <x v="2"/>
    </i>
    <i r="1">
      <x/>
      <x v="44"/>
    </i>
    <i r="1">
      <x v="1"/>
      <x v="52"/>
    </i>
    <i r="1">
      <x v="2"/>
      <x v="50"/>
    </i>
    <i r="1">
      <x v="3"/>
      <x v="46"/>
    </i>
    <i r="1">
      <x v="4"/>
      <x v="40"/>
    </i>
    <i r="1">
      <x v="5"/>
      <x v="1"/>
    </i>
    <i r="1">
      <x v="6"/>
      <x v="48"/>
    </i>
    <i r="1">
      <x v="7"/>
      <x v="3"/>
    </i>
    <i r="1">
      <x v="8"/>
      <x v="2"/>
    </i>
    <i r="2">
      <x v="56"/>
    </i>
    <i r="1">
      <x v="10"/>
      <x v="38"/>
    </i>
    <i r="1">
      <x v="11"/>
      <x v="55"/>
    </i>
    <i r="1">
      <x v="12"/>
      <x v="37"/>
    </i>
    <i r="1">
      <x v="13"/>
      <x v="43"/>
    </i>
    <i r="1">
      <x v="14"/>
      <x v="35"/>
    </i>
    <i r="1">
      <x v="15"/>
      <x v="39"/>
    </i>
    <i r="2">
      <x v="61"/>
    </i>
    <i r="1">
      <x v="17"/>
      <x v="36"/>
    </i>
    <i r="1">
      <x v="18"/>
      <x v="53"/>
    </i>
    <i r="1">
      <x v="19"/>
      <x v="34"/>
    </i>
    <i t="blank">
      <x v="2"/>
    </i>
    <i>
      <x v="3"/>
    </i>
    <i r="1">
      <x/>
      <x v="44"/>
    </i>
    <i r="1">
      <x v="1"/>
      <x v="52"/>
    </i>
    <i r="1">
      <x v="2"/>
      <x v="1"/>
    </i>
    <i r="1">
      <x v="3"/>
      <x v="2"/>
    </i>
    <i r="1">
      <x v="4"/>
      <x v="50"/>
    </i>
    <i r="1">
      <x v="5"/>
      <x v="3"/>
    </i>
    <i r="1">
      <x v="6"/>
      <x v="40"/>
    </i>
    <i r="1">
      <x v="7"/>
      <x v="56"/>
    </i>
    <i r="1">
      <x v="8"/>
      <x v="38"/>
    </i>
    <i r="1">
      <x v="9"/>
      <x v="55"/>
    </i>
    <i r="1">
      <x v="10"/>
      <x v="39"/>
    </i>
    <i r="1">
      <x v="11"/>
      <x v="46"/>
    </i>
    <i r="1">
      <x v="12"/>
      <x v="48"/>
    </i>
    <i r="2">
      <x v="57"/>
    </i>
    <i r="1">
      <x v="14"/>
      <x v="35"/>
    </i>
    <i r="2">
      <x v="43"/>
    </i>
    <i r="2">
      <x v="59"/>
    </i>
    <i r="1">
      <x v="17"/>
      <x v="18"/>
    </i>
    <i r="2">
      <x v="61"/>
    </i>
    <i r="1">
      <x v="19"/>
      <x v="34"/>
    </i>
    <i t="blank">
      <x v="3"/>
    </i>
    <i>
      <x v="4"/>
    </i>
    <i r="1">
      <x/>
      <x v="44"/>
    </i>
    <i r="1">
      <x v="1"/>
      <x v="52"/>
    </i>
    <i r="1">
      <x v="2"/>
      <x v="50"/>
    </i>
    <i r="1">
      <x v="3"/>
      <x v="56"/>
    </i>
    <i r="1">
      <x v="4"/>
      <x v="40"/>
    </i>
    <i r="1">
      <x v="5"/>
      <x v="2"/>
    </i>
    <i r="1">
      <x v="6"/>
      <x v="1"/>
    </i>
    <i r="1">
      <x v="7"/>
      <x v="3"/>
    </i>
    <i r="1">
      <x v="8"/>
      <x v="55"/>
    </i>
    <i r="1">
      <x v="9"/>
      <x v="48"/>
    </i>
    <i r="1">
      <x v="10"/>
      <x v="38"/>
    </i>
    <i r="1">
      <x v="11"/>
      <x v="46"/>
    </i>
    <i r="1">
      <x v="12"/>
      <x v="39"/>
    </i>
    <i r="1">
      <x v="13"/>
      <x v="43"/>
    </i>
    <i r="1">
      <x v="14"/>
      <x v="35"/>
    </i>
    <i r="1">
      <x v="15"/>
      <x v="36"/>
    </i>
    <i r="2">
      <x v="37"/>
    </i>
    <i r="1">
      <x v="17"/>
      <x v="34"/>
    </i>
    <i r="1">
      <x v="18"/>
      <x v="57"/>
    </i>
    <i r="2">
      <x v="61"/>
    </i>
    <i t="blank">
      <x v="4"/>
    </i>
    <i>
      <x v="5"/>
    </i>
    <i r="1">
      <x/>
      <x v="52"/>
    </i>
    <i r="1">
      <x v="1"/>
      <x v="2"/>
    </i>
    <i r="1">
      <x v="2"/>
      <x v="1"/>
    </i>
    <i r="1">
      <x v="3"/>
      <x v="3"/>
    </i>
    <i r="2">
      <x v="50"/>
    </i>
    <i r="1">
      <x v="5"/>
      <x v="44"/>
    </i>
    <i r="1">
      <x v="6"/>
      <x v="40"/>
    </i>
    <i r="1">
      <x v="7"/>
      <x v="56"/>
    </i>
    <i r="1">
      <x v="8"/>
      <x v="39"/>
    </i>
    <i r="1">
      <x v="9"/>
      <x v="38"/>
    </i>
    <i r="1">
      <x v="10"/>
      <x v="48"/>
    </i>
    <i r="2">
      <x v="59"/>
    </i>
    <i r="1">
      <x v="12"/>
      <x v="55"/>
    </i>
    <i r="1">
      <x v="13"/>
      <x v="46"/>
    </i>
    <i r="1">
      <x v="14"/>
      <x v="34"/>
    </i>
    <i r="1">
      <x v="15"/>
      <x v="43"/>
    </i>
    <i r="1">
      <x v="16"/>
      <x v="35"/>
    </i>
    <i r="2">
      <x v="36"/>
    </i>
    <i r="1">
      <x v="18"/>
      <x v="57"/>
    </i>
    <i r="1">
      <x v="19"/>
      <x v="53"/>
    </i>
    <i t="blank">
      <x v="5"/>
    </i>
    <i>
      <x v="6"/>
    </i>
    <i r="1">
      <x/>
      <x v="52"/>
    </i>
    <i r="1">
      <x v="1"/>
      <x v="55"/>
    </i>
    <i r="1">
      <x v="2"/>
      <x v="1"/>
    </i>
    <i r="1">
      <x v="3"/>
      <x v="44"/>
    </i>
    <i r="1">
      <x v="4"/>
      <x v="56"/>
    </i>
    <i r="1">
      <x v="5"/>
      <x v="50"/>
    </i>
    <i r="1">
      <x v="6"/>
      <x v="2"/>
    </i>
    <i r="1">
      <x v="7"/>
      <x v="40"/>
    </i>
    <i r="1">
      <x v="8"/>
      <x v="3"/>
    </i>
    <i r="1">
      <x v="9"/>
      <x v="46"/>
    </i>
    <i r="1">
      <x v="10"/>
      <x v="38"/>
    </i>
    <i r="1">
      <x v="11"/>
      <x v="39"/>
    </i>
    <i r="2">
      <x v="53"/>
    </i>
    <i r="1">
      <x v="13"/>
      <x v="37"/>
    </i>
    <i r="1">
      <x v="14"/>
      <x v="48"/>
    </i>
    <i r="1">
      <x v="15"/>
      <x v="57"/>
    </i>
    <i r="1">
      <x v="16"/>
      <x v="43"/>
    </i>
    <i r="1">
      <x v="17"/>
      <x v="59"/>
    </i>
    <i r="1">
      <x v="18"/>
      <x v="35"/>
    </i>
    <i r="1">
      <x v="19"/>
      <x v="36"/>
    </i>
    <i r="2">
      <x v="51"/>
    </i>
    <i r="2">
      <x v="61"/>
    </i>
    <i t="blank">
      <x v="6"/>
    </i>
    <i>
      <x v="7"/>
    </i>
    <i r="1">
      <x/>
      <x v="52"/>
    </i>
    <i r="1">
      <x v="1"/>
      <x v="37"/>
    </i>
    <i r="1">
      <x v="2"/>
      <x v="40"/>
    </i>
    <i r="1">
      <x v="3"/>
      <x v="44"/>
    </i>
    <i r="1">
      <x v="4"/>
      <x v="46"/>
    </i>
    <i r="1">
      <x v="5"/>
      <x v="55"/>
    </i>
    <i r="1">
      <x v="6"/>
      <x v="50"/>
    </i>
    <i r="1">
      <x v="7"/>
      <x v="38"/>
    </i>
    <i r="1">
      <x v="8"/>
      <x v="56"/>
    </i>
    <i r="1">
      <x v="9"/>
      <x v="48"/>
    </i>
    <i r="1">
      <x v="10"/>
      <x v="33"/>
    </i>
    <i r="1">
      <x v="11"/>
      <x v="1"/>
    </i>
    <i r="1">
      <x v="12"/>
      <x v="61"/>
    </i>
    <i r="1">
      <x v="13"/>
      <x v="3"/>
    </i>
    <i r="1">
      <x v="14"/>
      <x v="35"/>
    </i>
    <i r="1">
      <x v="15"/>
      <x v="28"/>
    </i>
    <i r="1">
      <x v="16"/>
      <x v="2"/>
    </i>
    <i r="1">
      <x v="17"/>
      <x v="36"/>
    </i>
    <i r="1">
      <x v="18"/>
      <x v="34"/>
    </i>
    <i r="1">
      <x v="19"/>
      <x v="51"/>
    </i>
    <i r="2">
      <x v="53"/>
    </i>
    <i t="blank">
      <x v="7"/>
    </i>
    <i>
      <x v="8"/>
    </i>
    <i r="1">
      <x/>
      <x v="52"/>
    </i>
    <i r="1">
      <x v="1"/>
      <x v="50"/>
    </i>
    <i r="1">
      <x v="2"/>
      <x v="40"/>
    </i>
    <i r="1">
      <x v="3"/>
      <x v="38"/>
    </i>
    <i r="1">
      <x v="4"/>
      <x v="44"/>
    </i>
    <i r="1">
      <x v="5"/>
      <x v="2"/>
    </i>
    <i r="1">
      <x v="6"/>
      <x v="1"/>
    </i>
    <i r="1">
      <x v="7"/>
      <x v="37"/>
    </i>
    <i r="1">
      <x v="8"/>
      <x v="56"/>
    </i>
    <i r="1">
      <x v="9"/>
      <x v="3"/>
    </i>
    <i r="1">
      <x v="10"/>
      <x v="39"/>
    </i>
    <i r="1">
      <x v="11"/>
      <x v="4"/>
    </i>
    <i r="1">
      <x v="12"/>
      <x v="33"/>
    </i>
    <i r="1">
      <x v="13"/>
      <x v="55"/>
    </i>
    <i r="1">
      <x v="14"/>
      <x v="59"/>
    </i>
    <i r="1">
      <x v="15"/>
      <x v="34"/>
    </i>
    <i r="1">
      <x v="16"/>
      <x v="46"/>
    </i>
    <i r="1">
      <x v="17"/>
      <x v="48"/>
    </i>
    <i r="2">
      <x v="57"/>
    </i>
    <i r="1">
      <x v="19"/>
      <x v="36"/>
    </i>
    <i t="blank">
      <x v="8"/>
    </i>
    <i>
      <x v="9"/>
    </i>
    <i r="1">
      <x/>
      <x v="44"/>
    </i>
    <i r="1">
      <x v="1"/>
      <x v="52"/>
    </i>
    <i r="1">
      <x v="2"/>
      <x v="50"/>
    </i>
    <i r="1">
      <x v="3"/>
      <x v="2"/>
    </i>
    <i r="1">
      <x v="4"/>
      <x v="40"/>
    </i>
    <i r="1">
      <x v="5"/>
      <x v="1"/>
    </i>
    <i r="1">
      <x v="6"/>
      <x v="56"/>
    </i>
    <i r="1">
      <x v="7"/>
      <x v="46"/>
    </i>
    <i r="1">
      <x v="8"/>
      <x v="55"/>
    </i>
    <i r="1">
      <x v="9"/>
      <x v="38"/>
    </i>
    <i r="1">
      <x v="10"/>
      <x v="3"/>
    </i>
    <i r="1">
      <x v="11"/>
      <x v="37"/>
    </i>
    <i r="1">
      <x v="12"/>
      <x v="39"/>
    </i>
    <i r="1">
      <x v="13"/>
      <x v="43"/>
    </i>
    <i r="1">
      <x v="14"/>
      <x v="48"/>
    </i>
    <i r="1">
      <x v="15"/>
      <x v="57"/>
    </i>
    <i r="1">
      <x v="16"/>
      <x v="36"/>
    </i>
    <i r="1">
      <x v="17"/>
      <x v="34"/>
    </i>
    <i r="1">
      <x v="18"/>
      <x v="61"/>
    </i>
    <i r="1">
      <x v="19"/>
      <x v="35"/>
    </i>
    <i t="blank">
      <x v="9"/>
    </i>
    <i>
      <x v="10"/>
    </i>
    <i r="1">
      <x/>
      <x v="52"/>
    </i>
    <i r="1">
      <x v="1"/>
      <x v="50"/>
    </i>
    <i r="1">
      <x v="2"/>
      <x v="44"/>
    </i>
    <i r="1">
      <x v="3"/>
      <x v="56"/>
    </i>
    <i r="1">
      <x v="4"/>
      <x v="2"/>
    </i>
    <i r="1">
      <x v="5"/>
      <x v="1"/>
    </i>
    <i r="1">
      <x v="6"/>
      <x v="40"/>
    </i>
    <i r="1">
      <x v="7"/>
      <x v="55"/>
    </i>
    <i r="1">
      <x v="8"/>
      <x v="46"/>
    </i>
    <i r="1">
      <x v="9"/>
      <x v="3"/>
    </i>
    <i r="1">
      <x v="10"/>
      <x v="38"/>
    </i>
    <i r="1">
      <x v="11"/>
      <x v="48"/>
    </i>
    <i r="1">
      <x v="12"/>
      <x v="39"/>
    </i>
    <i r="1">
      <x v="13"/>
      <x v="37"/>
    </i>
    <i r="1">
      <x v="14"/>
      <x v="43"/>
    </i>
    <i r="1">
      <x v="15"/>
      <x v="53"/>
    </i>
    <i r="1">
      <x v="16"/>
      <x v="33"/>
    </i>
    <i r="1">
      <x v="17"/>
      <x v="61"/>
    </i>
    <i r="1">
      <x v="18"/>
      <x v="35"/>
    </i>
    <i r="1">
      <x v="19"/>
      <x v="36"/>
    </i>
    <i t="blank">
      <x v="10"/>
    </i>
    <i>
      <x v="11"/>
    </i>
    <i r="1">
      <x/>
      <x v="50"/>
    </i>
    <i r="1">
      <x v="1"/>
      <x v="52"/>
    </i>
    <i r="1">
      <x v="2"/>
      <x v="40"/>
    </i>
    <i r="1">
      <x v="3"/>
      <x v="1"/>
    </i>
    <i r="1">
      <x v="4"/>
      <x v="38"/>
    </i>
    <i r="1">
      <x v="5"/>
      <x v="55"/>
    </i>
    <i r="1">
      <x v="6"/>
      <x v="44"/>
    </i>
    <i r="1">
      <x v="7"/>
      <x v="2"/>
    </i>
    <i r="1">
      <x v="8"/>
      <x v="49"/>
    </i>
    <i r="1">
      <x v="9"/>
      <x v="56"/>
    </i>
    <i r="1">
      <x v="10"/>
      <x v="3"/>
    </i>
    <i r="2">
      <x v="39"/>
    </i>
    <i r="1">
      <x v="12"/>
      <x v="37"/>
    </i>
    <i r="1">
      <x v="13"/>
      <x v="46"/>
    </i>
    <i r="1">
      <x v="14"/>
      <x v="43"/>
    </i>
    <i r="1">
      <x v="15"/>
      <x v="59"/>
    </i>
    <i r="1">
      <x v="16"/>
      <x v="33"/>
    </i>
    <i r="1">
      <x v="17"/>
      <x v="48"/>
    </i>
    <i r="2">
      <x v="57"/>
    </i>
    <i r="1">
      <x v="19"/>
      <x v="54"/>
    </i>
    <i t="blank">
      <x v="11"/>
    </i>
    <i>
      <x v="12"/>
    </i>
    <i r="1">
      <x/>
      <x v="50"/>
    </i>
    <i r="1">
      <x v="1"/>
      <x v="52"/>
    </i>
    <i r="1">
      <x v="2"/>
      <x v="40"/>
    </i>
    <i r="1">
      <x v="3"/>
      <x v="1"/>
    </i>
    <i r="1">
      <x v="4"/>
      <x v="2"/>
    </i>
    <i r="1">
      <x v="5"/>
      <x v="3"/>
    </i>
    <i r="1">
      <x v="6"/>
      <x v="37"/>
    </i>
    <i r="1">
      <x v="7"/>
      <x v="44"/>
    </i>
    <i r="1">
      <x v="8"/>
      <x v="38"/>
    </i>
    <i r="1">
      <x v="9"/>
      <x v="56"/>
    </i>
    <i r="1">
      <x v="10"/>
      <x v="55"/>
    </i>
    <i r="1">
      <x v="11"/>
      <x v="46"/>
    </i>
    <i r="1">
      <x v="12"/>
      <x v="39"/>
    </i>
    <i r="1">
      <x v="13"/>
      <x v="43"/>
    </i>
    <i r="2">
      <x v="48"/>
    </i>
    <i r="1">
      <x v="15"/>
      <x v="57"/>
    </i>
    <i r="1">
      <x v="16"/>
      <x v="34"/>
    </i>
    <i r="1">
      <x v="17"/>
      <x v="59"/>
    </i>
    <i r="1">
      <x v="18"/>
      <x v="35"/>
    </i>
    <i r="1">
      <x v="19"/>
      <x v="36"/>
    </i>
    <i t="blank">
      <x v="12"/>
    </i>
    <i>
      <x v="13"/>
    </i>
    <i r="1">
      <x/>
      <x v="52"/>
    </i>
    <i r="1">
      <x v="1"/>
      <x v="50"/>
    </i>
    <i r="1">
      <x v="2"/>
      <x v="44"/>
    </i>
    <i r="1">
      <x v="3"/>
      <x v="2"/>
    </i>
    <i r="1">
      <x v="4"/>
      <x v="40"/>
    </i>
    <i r="1">
      <x v="5"/>
      <x v="1"/>
    </i>
    <i r="1">
      <x v="6"/>
      <x v="56"/>
    </i>
    <i r="1">
      <x v="7"/>
      <x v="55"/>
    </i>
    <i r="1">
      <x v="8"/>
      <x v="38"/>
    </i>
    <i r="1">
      <x v="9"/>
      <x v="3"/>
    </i>
    <i r="1">
      <x v="10"/>
      <x v="46"/>
    </i>
    <i r="1">
      <x v="11"/>
      <x v="43"/>
    </i>
    <i r="1">
      <x v="12"/>
      <x v="39"/>
    </i>
    <i r="1">
      <x v="13"/>
      <x v="48"/>
    </i>
    <i r="1">
      <x v="14"/>
      <x v="37"/>
    </i>
    <i r="1">
      <x v="15"/>
      <x v="53"/>
    </i>
    <i r="1">
      <x v="16"/>
      <x v="36"/>
    </i>
    <i r="1">
      <x v="17"/>
      <x v="57"/>
    </i>
    <i r="1">
      <x v="18"/>
      <x v="61"/>
    </i>
    <i r="1">
      <x v="19"/>
      <x v="35"/>
    </i>
    <i t="blank">
      <x v="13"/>
    </i>
    <i>
      <x v="14"/>
    </i>
    <i r="1">
      <x/>
      <x v="52"/>
    </i>
    <i r="1">
      <x v="1"/>
      <x v="50"/>
    </i>
    <i r="1">
      <x v="2"/>
      <x v="1"/>
    </i>
    <i r="1">
      <x v="3"/>
      <x v="2"/>
    </i>
    <i r="1">
      <x v="4"/>
      <x v="44"/>
    </i>
    <i r="1">
      <x v="5"/>
      <x v="40"/>
    </i>
    <i r="1">
      <x v="6"/>
      <x v="39"/>
    </i>
    <i r="1">
      <x v="7"/>
      <x v="3"/>
    </i>
    <i r="1">
      <x v="8"/>
      <x v="38"/>
    </i>
    <i r="1">
      <x v="9"/>
      <x v="56"/>
    </i>
    <i r="1">
      <x v="10"/>
      <x v="55"/>
    </i>
    <i r="1">
      <x v="11"/>
      <x v="18"/>
    </i>
    <i r="1">
      <x v="12"/>
      <x v="53"/>
    </i>
    <i r="2">
      <x v="57"/>
    </i>
    <i r="2">
      <x v="59"/>
    </i>
    <i r="1">
      <x v="15"/>
      <x v="48"/>
    </i>
    <i r="1">
      <x v="16"/>
      <x v="34"/>
    </i>
    <i r="1">
      <x v="17"/>
      <x v="35"/>
    </i>
    <i r="2">
      <x v="37"/>
    </i>
    <i r="2">
      <x v="46"/>
    </i>
    <i t="blank">
      <x v="14"/>
    </i>
    <i>
      <x v="15"/>
    </i>
    <i r="1">
      <x/>
      <x v="52"/>
    </i>
    <i r="1">
      <x v="1"/>
      <x v="50"/>
    </i>
    <i r="1">
      <x v="2"/>
      <x v="40"/>
    </i>
    <i r="1">
      <x v="3"/>
      <x v="1"/>
    </i>
    <i r="1">
      <x v="4"/>
      <x v="56"/>
    </i>
    <i r="1">
      <x v="5"/>
      <x v="44"/>
    </i>
    <i r="1">
      <x v="6"/>
      <x v="2"/>
    </i>
    <i r="1">
      <x v="7"/>
      <x v="3"/>
    </i>
    <i r="2">
      <x v="38"/>
    </i>
    <i r="1">
      <x v="9"/>
      <x v="39"/>
    </i>
    <i r="1">
      <x v="10"/>
      <x v="55"/>
    </i>
    <i r="1">
      <x v="11"/>
      <x v="43"/>
    </i>
    <i r="1">
      <x v="12"/>
      <x v="37"/>
    </i>
    <i r="1">
      <x v="13"/>
      <x v="48"/>
    </i>
    <i r="1">
      <x v="14"/>
      <x v="46"/>
    </i>
    <i r="1">
      <x v="15"/>
      <x v="53"/>
    </i>
    <i r="1">
      <x v="16"/>
      <x v="59"/>
    </i>
    <i r="1">
      <x v="17"/>
      <x v="34"/>
    </i>
    <i r="1">
      <x v="18"/>
      <x v="36"/>
    </i>
    <i r="2">
      <x v="42"/>
    </i>
    <i t="blank">
      <x v="15"/>
    </i>
    <i>
      <x v="16"/>
    </i>
    <i r="1">
      <x/>
      <x v="50"/>
    </i>
    <i r="1">
      <x v="1"/>
      <x v="52"/>
    </i>
    <i r="1">
      <x v="2"/>
      <x v="44"/>
    </i>
    <i r="1">
      <x v="3"/>
      <x v="1"/>
    </i>
    <i r="1">
      <x v="4"/>
      <x v="40"/>
    </i>
    <i r="1">
      <x v="5"/>
      <x v="38"/>
    </i>
    <i r="1">
      <x v="6"/>
      <x v="37"/>
    </i>
    <i r="1">
      <x v="7"/>
      <x v="55"/>
    </i>
    <i r="1">
      <x v="8"/>
      <x v="56"/>
    </i>
    <i r="1">
      <x v="9"/>
      <x v="2"/>
    </i>
    <i r="1">
      <x v="10"/>
      <x v="3"/>
    </i>
    <i r="1">
      <x v="11"/>
      <x v="46"/>
    </i>
    <i r="2">
      <x v="53"/>
    </i>
    <i r="1">
      <x v="13"/>
      <x v="48"/>
    </i>
    <i r="1">
      <x v="14"/>
      <x v="39"/>
    </i>
    <i r="1">
      <x v="15"/>
      <x v="32"/>
    </i>
    <i r="2">
      <x v="33"/>
    </i>
    <i r="1">
      <x v="17"/>
      <x v="30"/>
    </i>
    <i r="1">
      <x v="18"/>
      <x v="43"/>
    </i>
    <i r="1">
      <x v="19"/>
      <x v="36"/>
    </i>
    <i r="2">
      <x v="59"/>
    </i>
    <i t="blank">
      <x v="16"/>
    </i>
    <i>
      <x v="17"/>
    </i>
    <i r="1">
      <x/>
      <x v="52"/>
    </i>
    <i r="1">
      <x v="1"/>
      <x v="50"/>
    </i>
    <i r="1">
      <x v="2"/>
      <x v="44"/>
    </i>
    <i r="1">
      <x v="3"/>
      <x v="1"/>
    </i>
    <i r="1">
      <x v="4"/>
      <x v="40"/>
    </i>
    <i r="1">
      <x v="5"/>
      <x v="2"/>
    </i>
    <i r="1">
      <x v="6"/>
      <x v="55"/>
    </i>
    <i r="1">
      <x v="7"/>
      <x v="56"/>
    </i>
    <i r="1">
      <x v="8"/>
      <x v="46"/>
    </i>
    <i r="1">
      <x v="9"/>
      <x v="38"/>
    </i>
    <i r="1">
      <x v="10"/>
      <x v="48"/>
    </i>
    <i r="1">
      <x v="11"/>
      <x v="39"/>
    </i>
    <i r="1">
      <x v="12"/>
      <x v="3"/>
    </i>
    <i r="1">
      <x v="13"/>
      <x v="37"/>
    </i>
    <i r="1">
      <x v="14"/>
      <x v="59"/>
    </i>
    <i r="1">
      <x v="15"/>
      <x v="35"/>
    </i>
    <i r="1">
      <x v="16"/>
      <x v="54"/>
    </i>
    <i r="2">
      <x v="57"/>
    </i>
    <i r="1">
      <x v="18"/>
      <x v="36"/>
    </i>
    <i r="2">
      <x v="43"/>
    </i>
    <i r="2">
      <x v="53"/>
    </i>
    <i t="blank">
      <x v="17"/>
    </i>
    <i>
      <x v="18"/>
    </i>
    <i r="1">
      <x/>
      <x v="52"/>
    </i>
    <i r="1">
      <x v="1"/>
      <x v="50"/>
    </i>
    <i r="1">
      <x v="2"/>
      <x v="1"/>
    </i>
    <i r="1">
      <x v="3"/>
      <x v="44"/>
    </i>
    <i r="1">
      <x v="4"/>
      <x v="2"/>
    </i>
    <i r="1">
      <x v="5"/>
      <x v="40"/>
    </i>
    <i r="1">
      <x v="6"/>
      <x v="3"/>
    </i>
    <i r="1">
      <x v="7"/>
      <x v="55"/>
    </i>
    <i r="1">
      <x v="8"/>
      <x v="56"/>
    </i>
    <i r="2">
      <x v="59"/>
    </i>
    <i r="1">
      <x v="10"/>
      <x v="38"/>
    </i>
    <i r="1">
      <x v="11"/>
      <x v="39"/>
    </i>
    <i r="1">
      <x v="12"/>
      <x v="37"/>
    </i>
    <i r="1">
      <x v="13"/>
      <x v="46"/>
    </i>
    <i r="1">
      <x v="14"/>
      <x v="43"/>
    </i>
    <i r="1">
      <x v="15"/>
      <x v="34"/>
    </i>
    <i r="1">
      <x v="16"/>
      <x v="57"/>
    </i>
    <i r="1">
      <x v="17"/>
      <x v="48"/>
    </i>
    <i r="2">
      <x v="53"/>
    </i>
    <i r="1">
      <x v="19"/>
      <x v="36"/>
    </i>
    <i t="blank">
      <x v="18"/>
    </i>
    <i>
      <x v="19"/>
    </i>
    <i r="1">
      <x/>
      <x v="50"/>
    </i>
    <i r="1">
      <x v="1"/>
      <x v="52"/>
    </i>
    <i r="1">
      <x v="2"/>
      <x v="1"/>
    </i>
    <i r="1">
      <x v="3"/>
      <x v="40"/>
    </i>
    <i r="1">
      <x v="4"/>
      <x v="2"/>
    </i>
    <i r="1">
      <x v="5"/>
      <x v="38"/>
    </i>
    <i r="1">
      <x v="6"/>
      <x v="3"/>
    </i>
    <i r="1">
      <x v="7"/>
      <x v="44"/>
    </i>
    <i r="1">
      <x v="8"/>
      <x v="56"/>
    </i>
    <i r="1">
      <x v="9"/>
      <x v="55"/>
    </i>
    <i r="1">
      <x v="10"/>
      <x v="39"/>
    </i>
    <i r="1">
      <x v="11"/>
      <x v="59"/>
    </i>
    <i r="1">
      <x v="12"/>
      <x v="37"/>
    </i>
    <i r="1">
      <x v="13"/>
      <x v="46"/>
    </i>
    <i r="1">
      <x v="14"/>
      <x v="53"/>
    </i>
    <i r="1">
      <x v="15"/>
      <x v="4"/>
    </i>
    <i r="1">
      <x v="16"/>
      <x v="36"/>
    </i>
    <i r="1">
      <x v="17"/>
      <x v="57"/>
    </i>
    <i r="1">
      <x v="18"/>
      <x v="43"/>
    </i>
    <i r="2">
      <x v="48"/>
    </i>
    <i t="blank">
      <x v="19"/>
    </i>
    <i>
      <x v="20"/>
    </i>
    <i r="1">
      <x/>
      <x v="44"/>
    </i>
    <i r="1">
      <x v="1"/>
      <x v="52"/>
    </i>
    <i r="1">
      <x v="2"/>
      <x v="50"/>
    </i>
    <i r="1">
      <x v="3"/>
      <x v="40"/>
    </i>
    <i r="1">
      <x v="4"/>
      <x v="56"/>
    </i>
    <i r="1">
      <x v="5"/>
      <x v="55"/>
    </i>
    <i r="1">
      <x v="6"/>
      <x v="46"/>
    </i>
    <i r="1">
      <x v="7"/>
      <x v="38"/>
    </i>
    <i r="1">
      <x v="8"/>
      <x v="1"/>
    </i>
    <i r="2">
      <x v="3"/>
    </i>
    <i r="2">
      <x v="48"/>
    </i>
    <i r="1">
      <x v="11"/>
      <x v="2"/>
    </i>
    <i r="1">
      <x v="12"/>
      <x v="43"/>
    </i>
    <i r="1">
      <x v="13"/>
      <x v="53"/>
    </i>
    <i r="1">
      <x v="14"/>
      <x v="39"/>
    </i>
    <i r="1">
      <x v="15"/>
      <x v="37"/>
    </i>
    <i r="1">
      <x v="16"/>
      <x v="57"/>
    </i>
    <i r="1">
      <x v="17"/>
      <x v="35"/>
    </i>
    <i r="1">
      <x v="18"/>
      <x v="36"/>
    </i>
    <i r="2">
      <x v="61"/>
    </i>
    <i t="blank">
      <x v="20"/>
    </i>
    <i>
      <x v="21"/>
    </i>
    <i r="1">
      <x/>
      <x v="52"/>
    </i>
    <i r="1">
      <x v="1"/>
      <x v="44"/>
    </i>
    <i r="1">
      <x v="2"/>
      <x v="50"/>
    </i>
    <i r="1">
      <x v="3"/>
      <x v="1"/>
    </i>
    <i r="1">
      <x v="4"/>
      <x v="2"/>
    </i>
    <i r="1">
      <x v="5"/>
      <x v="40"/>
    </i>
    <i r="1">
      <x v="6"/>
      <x v="55"/>
    </i>
    <i r="1">
      <x v="7"/>
      <x v="56"/>
    </i>
    <i r="1">
      <x v="8"/>
      <x v="46"/>
    </i>
    <i r="1">
      <x v="9"/>
      <x v="3"/>
    </i>
    <i r="1">
      <x v="10"/>
      <x v="39"/>
    </i>
    <i r="1">
      <x v="11"/>
      <x v="38"/>
    </i>
    <i r="1">
      <x v="12"/>
      <x v="48"/>
    </i>
    <i r="1">
      <x v="13"/>
      <x v="37"/>
    </i>
    <i r="1">
      <x v="14"/>
      <x v="35"/>
    </i>
    <i r="1">
      <x v="15"/>
      <x v="43"/>
    </i>
    <i r="1">
      <x v="16"/>
      <x v="61"/>
    </i>
    <i r="1">
      <x v="17"/>
      <x v="36"/>
    </i>
    <i r="1">
      <x v="18"/>
      <x v="53"/>
    </i>
    <i r="1">
      <x v="19"/>
      <x v="57"/>
    </i>
    <i t="blank">
      <x v="21"/>
    </i>
    <i>
      <x v="22"/>
    </i>
    <i r="1">
      <x/>
      <x v="50"/>
    </i>
    <i r="1">
      <x v="1"/>
      <x v="52"/>
    </i>
    <i r="1">
      <x v="2"/>
      <x v="38"/>
    </i>
    <i r="2">
      <x v="44"/>
    </i>
    <i r="1">
      <x v="4"/>
      <x v="1"/>
    </i>
    <i r="1">
      <x v="5"/>
      <x v="40"/>
    </i>
    <i r="1">
      <x v="6"/>
      <x v="49"/>
    </i>
    <i r="1">
      <x v="7"/>
      <x v="2"/>
    </i>
    <i r="1">
      <x v="8"/>
      <x v="3"/>
    </i>
    <i r="1">
      <x v="9"/>
      <x v="55"/>
    </i>
    <i r="1">
      <x v="10"/>
      <x v="33"/>
    </i>
    <i r="1">
      <x v="11"/>
      <x v="39"/>
    </i>
    <i r="1">
      <x v="12"/>
      <x v="54"/>
    </i>
    <i r="1">
      <x v="13"/>
      <x v="37"/>
    </i>
    <i r="2">
      <x v="56"/>
    </i>
    <i r="1">
      <x v="15"/>
      <x v="59"/>
    </i>
    <i r="1">
      <x v="16"/>
      <x v="48"/>
    </i>
    <i r="2">
      <x v="51"/>
    </i>
    <i r="2">
      <x v="53"/>
    </i>
    <i r="1">
      <x v="19"/>
      <x v="4"/>
    </i>
    <i r="2">
      <x v="8"/>
    </i>
    <i r="2">
      <x v="36"/>
    </i>
    <i t="blank">
      <x v="22"/>
    </i>
    <i>
      <x v="23"/>
    </i>
    <i r="1">
      <x/>
      <x v="52"/>
    </i>
    <i r="1">
      <x v="1"/>
      <x v="50"/>
    </i>
    <i r="1">
      <x v="2"/>
      <x v="3"/>
    </i>
    <i r="1">
      <x v="3"/>
      <x v="2"/>
    </i>
    <i r="1">
      <x v="4"/>
      <x v="1"/>
    </i>
    <i r="1">
      <x v="5"/>
      <x v="40"/>
    </i>
    <i r="1">
      <x v="6"/>
      <x v="44"/>
    </i>
    <i r="1">
      <x v="7"/>
      <x v="38"/>
    </i>
    <i r="1">
      <x v="8"/>
      <x v="56"/>
    </i>
    <i r="1">
      <x v="9"/>
      <x v="39"/>
    </i>
    <i r="1">
      <x v="10"/>
      <x v="55"/>
    </i>
    <i r="1">
      <x v="11"/>
      <x v="48"/>
    </i>
    <i r="1">
      <x v="12"/>
      <x v="34"/>
    </i>
    <i r="2">
      <x v="46"/>
    </i>
    <i r="1">
      <x v="14"/>
      <x v="59"/>
    </i>
    <i r="1">
      <x v="15"/>
      <x v="43"/>
    </i>
    <i r="1">
      <x v="16"/>
      <x v="37"/>
    </i>
    <i r="1">
      <x v="17"/>
      <x v="18"/>
    </i>
    <i r="1">
      <x v="18"/>
      <x v="35"/>
    </i>
    <i r="1">
      <x v="19"/>
      <x v="61"/>
    </i>
    <i t="blank">
      <x v="23"/>
    </i>
    <i>
      <x v="24"/>
    </i>
    <i r="1">
      <x/>
      <x v="52"/>
    </i>
    <i r="1">
      <x v="1"/>
      <x v="44"/>
    </i>
    <i r="1">
      <x v="2"/>
      <x v="50"/>
    </i>
    <i r="1">
      <x v="3"/>
      <x v="1"/>
    </i>
    <i r="1">
      <x v="4"/>
      <x v="55"/>
    </i>
    <i r="1">
      <x v="5"/>
      <x v="56"/>
    </i>
    <i r="1">
      <x v="6"/>
      <x v="2"/>
    </i>
    <i r="1">
      <x v="7"/>
      <x v="38"/>
    </i>
    <i r="1">
      <x v="8"/>
      <x v="40"/>
    </i>
    <i r="1">
      <x v="9"/>
      <x v="3"/>
    </i>
    <i r="1">
      <x v="10"/>
      <x v="46"/>
    </i>
    <i r="1">
      <x v="11"/>
      <x v="37"/>
    </i>
    <i r="2">
      <x v="43"/>
    </i>
    <i r="1">
      <x v="13"/>
      <x v="48"/>
    </i>
    <i r="1">
      <x v="14"/>
      <x v="39"/>
    </i>
    <i r="1">
      <x v="15"/>
      <x v="57"/>
    </i>
    <i r="1">
      <x v="16"/>
      <x v="51"/>
    </i>
    <i r="2">
      <x v="61"/>
    </i>
    <i r="1">
      <x v="18"/>
      <x v="36"/>
    </i>
    <i r="2">
      <x v="53"/>
    </i>
    <i t="blank">
      <x v="24"/>
    </i>
    <i>
      <x v="25"/>
    </i>
    <i r="1">
      <x/>
      <x v="52"/>
    </i>
    <i r="1">
      <x v="1"/>
      <x v="50"/>
    </i>
    <i r="1">
      <x v="2"/>
      <x v="44"/>
    </i>
    <i r="1">
      <x v="3"/>
      <x v="55"/>
    </i>
    <i r="1">
      <x v="4"/>
      <x v="2"/>
    </i>
    <i r="1">
      <x v="5"/>
      <x v="40"/>
    </i>
    <i r="1">
      <x v="6"/>
      <x v="56"/>
    </i>
    <i r="1">
      <x v="7"/>
      <x v="1"/>
    </i>
    <i r="1">
      <x v="8"/>
      <x v="38"/>
    </i>
    <i r="1">
      <x v="9"/>
      <x v="3"/>
    </i>
    <i r="1">
      <x v="10"/>
      <x v="46"/>
    </i>
    <i r="1">
      <x v="11"/>
      <x v="37"/>
    </i>
    <i r="1">
      <x v="12"/>
      <x v="39"/>
    </i>
    <i r="1">
      <x v="13"/>
      <x v="43"/>
    </i>
    <i r="1">
      <x v="14"/>
      <x v="48"/>
    </i>
    <i r="1">
      <x v="15"/>
      <x v="53"/>
    </i>
    <i r="1">
      <x v="16"/>
      <x v="18"/>
    </i>
    <i r="1">
      <x v="17"/>
      <x v="59"/>
    </i>
    <i r="1">
      <x v="18"/>
      <x v="35"/>
    </i>
    <i r="1">
      <x v="19"/>
      <x v="57"/>
    </i>
    <i t="blank">
      <x v="25"/>
    </i>
    <i>
      <x v="26"/>
    </i>
    <i r="1">
      <x/>
      <x v="52"/>
    </i>
    <i r="1">
      <x v="1"/>
      <x v="44"/>
    </i>
    <i r="1">
      <x v="2"/>
      <x v="50"/>
    </i>
    <i r="1">
      <x v="3"/>
      <x v="55"/>
    </i>
    <i r="1">
      <x v="4"/>
      <x v="56"/>
    </i>
    <i r="1">
      <x v="5"/>
      <x v="1"/>
    </i>
    <i r="1">
      <x v="6"/>
      <x v="40"/>
    </i>
    <i r="1">
      <x v="7"/>
      <x v="38"/>
    </i>
    <i r="1">
      <x v="8"/>
      <x v="46"/>
    </i>
    <i r="1">
      <x v="9"/>
      <x v="3"/>
    </i>
    <i r="1">
      <x v="10"/>
      <x v="2"/>
    </i>
    <i r="1">
      <x v="11"/>
      <x v="39"/>
    </i>
    <i r="1">
      <x v="12"/>
      <x v="48"/>
    </i>
    <i r="1">
      <x v="13"/>
      <x v="28"/>
    </i>
    <i r="1">
      <x v="14"/>
      <x v="37"/>
    </i>
    <i r="2">
      <x v="61"/>
    </i>
    <i r="1">
      <x v="16"/>
      <x v="53"/>
    </i>
    <i r="2">
      <x v="57"/>
    </i>
    <i r="1">
      <x v="18"/>
      <x v="36"/>
    </i>
    <i r="2">
      <x v="43"/>
    </i>
    <i t="blank">
      <x v="26"/>
    </i>
    <i>
      <x v="27"/>
    </i>
    <i r="1">
      <x/>
      <x v="50"/>
    </i>
    <i r="1">
      <x v="1"/>
      <x v="52"/>
    </i>
    <i r="1">
      <x v="2"/>
      <x v="44"/>
    </i>
    <i r="1">
      <x v="3"/>
      <x v="40"/>
    </i>
    <i r="1">
      <x v="4"/>
      <x v="38"/>
    </i>
    <i r="1">
      <x v="5"/>
      <x v="1"/>
    </i>
    <i r="1">
      <x v="6"/>
      <x v="2"/>
    </i>
    <i r="1">
      <x v="7"/>
      <x v="55"/>
    </i>
    <i r="1">
      <x v="8"/>
      <x v="49"/>
    </i>
    <i r="1">
      <x v="9"/>
      <x v="4"/>
    </i>
    <i r="1">
      <x v="10"/>
      <x v="39"/>
    </i>
    <i r="2">
      <x v="48"/>
    </i>
    <i r="1">
      <x v="12"/>
      <x v="37"/>
    </i>
    <i r="1">
      <x v="13"/>
      <x v="3"/>
    </i>
    <i r="1">
      <x v="14"/>
      <x v="54"/>
    </i>
    <i r="1">
      <x v="15"/>
      <x v="33"/>
    </i>
    <i r="1">
      <x v="16"/>
      <x v="56"/>
    </i>
    <i r="2">
      <x v="59"/>
    </i>
    <i r="1">
      <x v="18"/>
      <x v="36"/>
    </i>
    <i r="2">
      <x v="46"/>
    </i>
    <i t="blank">
      <x v="27"/>
    </i>
    <i>
      <x v="28"/>
    </i>
    <i r="1">
      <x/>
      <x v="52"/>
    </i>
    <i r="1">
      <x v="1"/>
      <x v="50"/>
    </i>
    <i r="1">
      <x v="2"/>
      <x v="2"/>
    </i>
    <i r="1">
      <x v="3"/>
      <x v="1"/>
    </i>
    <i r="1">
      <x v="4"/>
      <x v="56"/>
    </i>
    <i r="1">
      <x v="5"/>
      <x v="3"/>
    </i>
    <i r="1">
      <x v="6"/>
      <x v="40"/>
    </i>
    <i r="1">
      <x v="7"/>
      <x v="44"/>
    </i>
    <i r="1">
      <x v="8"/>
      <x v="55"/>
    </i>
    <i r="1">
      <x v="9"/>
      <x v="38"/>
    </i>
    <i r="1">
      <x v="10"/>
      <x v="18"/>
    </i>
    <i r="2">
      <x v="46"/>
    </i>
    <i r="1">
      <x v="12"/>
      <x v="48"/>
    </i>
    <i r="1">
      <x v="13"/>
      <x v="43"/>
    </i>
    <i r="1">
      <x v="14"/>
      <x v="39"/>
    </i>
    <i r="1">
      <x v="15"/>
      <x v="34"/>
    </i>
    <i r="1">
      <x v="16"/>
      <x v="57"/>
    </i>
    <i r="1">
      <x v="17"/>
      <x v="20"/>
    </i>
    <i r="1">
      <x v="18"/>
      <x v="53"/>
    </i>
    <i r="2">
      <x v="59"/>
    </i>
    <i t="blank">
      <x v="28"/>
    </i>
    <i>
      <x v="29"/>
    </i>
    <i r="1">
      <x/>
      <x v="50"/>
    </i>
    <i r="1">
      <x v="1"/>
      <x v="52"/>
    </i>
    <i r="1">
      <x v="2"/>
      <x v="44"/>
    </i>
    <i r="1">
      <x v="3"/>
      <x v="1"/>
    </i>
    <i r="1">
      <x v="4"/>
      <x v="40"/>
    </i>
    <i r="1">
      <x v="5"/>
      <x v="2"/>
    </i>
    <i r="1">
      <x v="6"/>
      <x v="3"/>
    </i>
    <i r="1">
      <x v="7"/>
      <x v="55"/>
    </i>
    <i r="1">
      <x v="8"/>
      <x v="39"/>
    </i>
    <i r="1">
      <x v="9"/>
      <x v="38"/>
    </i>
    <i r="1">
      <x v="10"/>
      <x v="56"/>
    </i>
    <i r="1">
      <x v="11"/>
      <x v="48"/>
    </i>
    <i r="1">
      <x v="12"/>
      <x v="59"/>
    </i>
    <i r="1">
      <x v="13"/>
      <x v="34"/>
    </i>
    <i r="1">
      <x v="14"/>
      <x v="46"/>
    </i>
    <i r="1">
      <x v="15"/>
      <x v="57"/>
    </i>
    <i r="1">
      <x v="16"/>
      <x v="43"/>
    </i>
    <i r="2">
      <x v="45"/>
    </i>
    <i r="1">
      <x v="18"/>
      <x v="54"/>
    </i>
    <i r="1">
      <x v="19"/>
      <x v="35"/>
    </i>
    <i t="blank">
      <x v="29"/>
    </i>
    <i>
      <x v="30"/>
    </i>
    <i r="1">
      <x/>
      <x v="52"/>
    </i>
    <i r="1">
      <x v="1"/>
      <x v="50"/>
    </i>
    <i r="1">
      <x v="2"/>
      <x v="1"/>
    </i>
    <i r="1">
      <x v="3"/>
      <x v="2"/>
    </i>
    <i r="1">
      <x v="4"/>
      <x v="40"/>
    </i>
    <i r="1">
      <x v="5"/>
      <x v="38"/>
    </i>
    <i r="1">
      <x v="6"/>
      <x v="3"/>
    </i>
    <i r="1">
      <x v="7"/>
      <x v="39"/>
    </i>
    <i r="1">
      <x v="8"/>
      <x v="56"/>
    </i>
    <i r="1">
      <x v="9"/>
      <x v="57"/>
    </i>
    <i r="1">
      <x v="10"/>
      <x v="37"/>
    </i>
    <i r="2">
      <x v="59"/>
    </i>
    <i r="1">
      <x v="12"/>
      <x v="48"/>
    </i>
    <i r="2">
      <x v="54"/>
    </i>
    <i r="2">
      <x v="55"/>
    </i>
    <i r="1">
      <x v="15"/>
      <x v="4"/>
    </i>
    <i r="1">
      <x v="16"/>
      <x v="44"/>
    </i>
    <i r="2">
      <x v="49"/>
    </i>
    <i r="1">
      <x v="18"/>
      <x v="46"/>
    </i>
    <i r="1">
      <x v="19"/>
      <x v="25"/>
    </i>
    <i t="blank">
      <x v="30"/>
    </i>
    <i>
      <x v="31"/>
    </i>
    <i r="1">
      <x/>
      <x v="44"/>
    </i>
    <i r="1">
      <x v="1"/>
      <x v="52"/>
    </i>
    <i r="1">
      <x v="2"/>
      <x v="50"/>
    </i>
    <i r="1">
      <x v="3"/>
      <x v="46"/>
    </i>
    <i r="1">
      <x v="4"/>
      <x v="40"/>
    </i>
    <i r="1">
      <x v="5"/>
      <x v="2"/>
    </i>
    <i r="1">
      <x v="6"/>
      <x v="56"/>
    </i>
    <i r="1">
      <x v="7"/>
      <x v="55"/>
    </i>
    <i r="1">
      <x v="8"/>
      <x v="1"/>
    </i>
    <i r="1">
      <x v="9"/>
      <x v="34"/>
    </i>
    <i r="1">
      <x v="10"/>
      <x v="38"/>
    </i>
    <i r="1">
      <x v="11"/>
      <x v="28"/>
    </i>
    <i r="1">
      <x v="12"/>
      <x v="48"/>
    </i>
    <i r="2">
      <x v="61"/>
    </i>
    <i r="1">
      <x v="14"/>
      <x v="43"/>
    </i>
    <i r="1">
      <x v="15"/>
      <x v="37"/>
    </i>
    <i r="1">
      <x v="16"/>
      <x v="3"/>
    </i>
    <i r="1">
      <x v="17"/>
      <x v="33"/>
    </i>
    <i r="1">
      <x v="18"/>
      <x v="36"/>
    </i>
    <i r="1">
      <x v="19"/>
      <x v="35"/>
    </i>
    <i t="blank">
      <x v="31"/>
    </i>
    <i>
      <x v="32"/>
    </i>
    <i r="1">
      <x/>
      <x v="52"/>
    </i>
    <i r="1">
      <x v="1"/>
      <x v="50"/>
    </i>
    <i r="1">
      <x v="2"/>
      <x v="44"/>
    </i>
    <i r="1">
      <x v="3"/>
      <x v="1"/>
    </i>
    <i r="1">
      <x v="4"/>
      <x v="3"/>
    </i>
    <i r="1">
      <x v="5"/>
      <x v="55"/>
    </i>
    <i r="1">
      <x v="6"/>
      <x v="2"/>
    </i>
    <i r="2">
      <x v="35"/>
    </i>
    <i r="1">
      <x v="8"/>
      <x v="40"/>
    </i>
    <i r="1">
      <x v="9"/>
      <x v="39"/>
    </i>
    <i r="1">
      <x v="10"/>
      <x v="56"/>
    </i>
    <i r="1">
      <x v="11"/>
      <x v="38"/>
    </i>
    <i r="1">
      <x v="12"/>
      <x v="48"/>
    </i>
    <i r="1">
      <x v="13"/>
      <x v="46"/>
    </i>
    <i r="1">
      <x v="14"/>
      <x v="59"/>
    </i>
    <i r="1">
      <x v="15"/>
      <x v="34"/>
    </i>
    <i r="1">
      <x v="16"/>
      <x v="53"/>
    </i>
    <i r="1">
      <x v="17"/>
      <x v="57"/>
    </i>
    <i r="1">
      <x v="18"/>
      <x v="41"/>
    </i>
    <i r="1">
      <x v="19"/>
      <x v="43"/>
    </i>
    <i t="blank">
      <x v="32"/>
    </i>
    <i>
      <x v="33"/>
    </i>
    <i r="1">
      <x/>
      <x v="52"/>
    </i>
    <i r="1">
      <x v="1"/>
      <x v="50"/>
    </i>
    <i r="1">
      <x v="2"/>
      <x v="3"/>
    </i>
    <i r="1">
      <x v="3"/>
      <x v="2"/>
    </i>
    <i r="1">
      <x v="4"/>
      <x v="1"/>
    </i>
    <i r="1">
      <x v="5"/>
      <x v="44"/>
    </i>
    <i r="1">
      <x v="6"/>
      <x v="40"/>
    </i>
    <i r="1">
      <x v="7"/>
      <x v="57"/>
    </i>
    <i r="1">
      <x v="8"/>
      <x v="39"/>
    </i>
    <i r="1">
      <x v="9"/>
      <x v="55"/>
    </i>
    <i r="1">
      <x v="10"/>
      <x v="38"/>
    </i>
    <i r="1">
      <x v="11"/>
      <x v="48"/>
    </i>
    <i r="2">
      <x v="56"/>
    </i>
    <i r="1">
      <x v="13"/>
      <x v="46"/>
    </i>
    <i r="1">
      <x v="14"/>
      <x v="59"/>
    </i>
    <i r="1">
      <x v="15"/>
      <x v="61"/>
    </i>
    <i r="1">
      <x v="16"/>
      <x v="43"/>
    </i>
    <i r="1">
      <x v="17"/>
      <x v="18"/>
    </i>
    <i r="1">
      <x v="18"/>
      <x v="31"/>
    </i>
    <i r="2">
      <x v="34"/>
    </i>
    <i t="blank">
      <x v="33"/>
    </i>
    <i>
      <x v="34"/>
    </i>
    <i r="1">
      <x/>
      <x v="52"/>
    </i>
    <i r="1">
      <x v="1"/>
      <x v="2"/>
    </i>
    <i r="1">
      <x v="2"/>
      <x v="1"/>
    </i>
    <i r="1">
      <x v="3"/>
      <x v="50"/>
    </i>
    <i r="1">
      <x v="4"/>
      <x v="3"/>
    </i>
    <i r="1">
      <x v="5"/>
      <x v="44"/>
    </i>
    <i r="1">
      <x v="6"/>
      <x v="40"/>
    </i>
    <i r="1">
      <x v="7"/>
      <x v="59"/>
    </i>
    <i r="1">
      <x v="8"/>
      <x v="39"/>
    </i>
    <i r="1">
      <x v="9"/>
      <x v="55"/>
    </i>
    <i r="1">
      <x v="10"/>
      <x v="18"/>
    </i>
    <i r="2">
      <x v="38"/>
    </i>
    <i r="1">
      <x v="12"/>
      <x v="56"/>
    </i>
    <i r="1">
      <x v="13"/>
      <x v="48"/>
    </i>
    <i r="1">
      <x v="14"/>
      <x v="43"/>
    </i>
    <i r="1">
      <x v="15"/>
      <x v="20"/>
    </i>
    <i r="1">
      <x v="16"/>
      <x v="57"/>
    </i>
    <i r="1">
      <x v="17"/>
      <x v="37"/>
    </i>
    <i r="1">
      <x v="18"/>
      <x v="36"/>
    </i>
    <i r="1">
      <x v="19"/>
      <x v="46"/>
    </i>
    <i t="blank">
      <x v="34"/>
    </i>
    <i>
      <x v="35"/>
    </i>
    <i r="1">
      <x/>
      <x v="52"/>
    </i>
    <i r="1">
      <x v="1"/>
      <x v="1"/>
    </i>
    <i r="1">
      <x v="2"/>
      <x v="40"/>
    </i>
    <i r="1">
      <x v="3"/>
      <x v="2"/>
    </i>
    <i r="2">
      <x v="50"/>
    </i>
    <i r="1">
      <x v="5"/>
      <x v="44"/>
    </i>
    <i r="1">
      <x v="6"/>
      <x v="55"/>
    </i>
    <i r="1">
      <x v="7"/>
      <x v="46"/>
    </i>
    <i r="1">
      <x v="8"/>
      <x v="38"/>
    </i>
    <i r="1">
      <x v="9"/>
      <x v="3"/>
    </i>
    <i r="1">
      <x v="10"/>
      <x v="59"/>
    </i>
    <i r="1">
      <x v="11"/>
      <x v="39"/>
    </i>
    <i r="1">
      <x v="12"/>
      <x v="56"/>
    </i>
    <i r="1">
      <x v="13"/>
      <x v="48"/>
    </i>
    <i r="2">
      <x v="57"/>
    </i>
    <i r="1">
      <x v="15"/>
      <x v="53"/>
    </i>
    <i r="1">
      <x v="16"/>
      <x v="34"/>
    </i>
    <i r="1">
      <x v="17"/>
      <x v="36"/>
    </i>
    <i r="2">
      <x v="37"/>
    </i>
    <i r="2">
      <x v="61"/>
    </i>
    <i t="blank">
      <x v="35"/>
    </i>
    <i>
      <x v="36"/>
    </i>
    <i r="1">
      <x/>
      <x v="1"/>
    </i>
    <i r="1">
      <x v="1"/>
      <x v="2"/>
    </i>
    <i r="1">
      <x v="2"/>
      <x v="52"/>
    </i>
    <i r="1">
      <x v="3"/>
      <x v="50"/>
    </i>
    <i r="1">
      <x v="4"/>
      <x v="18"/>
    </i>
    <i r="1">
      <x v="5"/>
      <x v="44"/>
    </i>
    <i r="1">
      <x v="6"/>
      <x v="55"/>
    </i>
    <i r="1">
      <x v="7"/>
      <x v="40"/>
    </i>
    <i r="1">
      <x v="8"/>
      <x v="3"/>
    </i>
    <i r="1">
      <x v="9"/>
      <x v="38"/>
    </i>
    <i r="1">
      <x v="10"/>
      <x v="46"/>
    </i>
    <i r="1">
      <x v="11"/>
      <x v="59"/>
    </i>
    <i r="1">
      <x v="12"/>
      <x v="56"/>
    </i>
    <i r="1">
      <x v="13"/>
      <x v="34"/>
    </i>
    <i r="2">
      <x v="39"/>
    </i>
    <i r="1">
      <x v="15"/>
      <x v="35"/>
    </i>
    <i r="2">
      <x v="48"/>
    </i>
    <i r="1">
      <x v="17"/>
      <x v="20"/>
    </i>
    <i r="1">
      <x v="18"/>
      <x v="12"/>
    </i>
    <i r="1">
      <x v="19"/>
      <x v="53"/>
    </i>
    <i t="blank">
      <x v="36"/>
    </i>
    <i>
      <x v="37"/>
    </i>
    <i r="1">
      <x/>
      <x v="52"/>
    </i>
    <i r="1">
      <x v="1"/>
      <x v="50"/>
    </i>
    <i r="1">
      <x v="2"/>
      <x v="1"/>
    </i>
    <i r="1">
      <x v="3"/>
      <x v="44"/>
    </i>
    <i r="1">
      <x v="4"/>
      <x v="2"/>
    </i>
    <i r="1">
      <x v="5"/>
      <x v="39"/>
    </i>
    <i r="1">
      <x v="6"/>
      <x v="3"/>
    </i>
    <i r="1">
      <x v="7"/>
      <x v="40"/>
    </i>
    <i r="1">
      <x v="8"/>
      <x v="56"/>
    </i>
    <i r="1">
      <x v="9"/>
      <x v="38"/>
    </i>
    <i r="1">
      <x v="10"/>
      <x v="43"/>
    </i>
    <i r="2">
      <x v="55"/>
    </i>
    <i r="1">
      <x v="12"/>
      <x v="30"/>
    </i>
    <i r="1">
      <x v="13"/>
      <x v="48"/>
    </i>
    <i r="1">
      <x v="14"/>
      <x v="59"/>
    </i>
    <i r="1">
      <x v="15"/>
      <x v="37"/>
    </i>
    <i r="1">
      <x v="16"/>
      <x v="35"/>
    </i>
    <i r="2">
      <x v="46"/>
    </i>
    <i r="2">
      <x v="53"/>
    </i>
    <i r="1">
      <x v="19"/>
      <x v="36"/>
    </i>
    <i t="blank">
      <x v="37"/>
    </i>
    <i>
      <x v="38"/>
    </i>
    <i r="1">
      <x/>
      <x v="52"/>
    </i>
    <i r="1">
      <x v="1"/>
      <x v="50"/>
    </i>
    <i r="1">
      <x v="2"/>
      <x v="1"/>
    </i>
    <i r="1">
      <x v="3"/>
      <x v="38"/>
    </i>
    <i r="1">
      <x v="4"/>
      <x v="40"/>
    </i>
    <i r="1">
      <x v="5"/>
      <x v="49"/>
    </i>
    <i r="1">
      <x v="6"/>
      <x v="2"/>
    </i>
    <i r="1">
      <x v="7"/>
      <x v="44"/>
    </i>
    <i r="1">
      <x v="8"/>
      <x v="3"/>
    </i>
    <i r="1">
      <x v="9"/>
      <x v="39"/>
    </i>
    <i r="1">
      <x v="10"/>
      <x v="56"/>
    </i>
    <i r="2">
      <x v="57"/>
    </i>
    <i r="1">
      <x v="12"/>
      <x v="55"/>
    </i>
    <i r="1">
      <x v="13"/>
      <x v="33"/>
    </i>
    <i r="1">
      <x v="14"/>
      <x v="59"/>
    </i>
    <i r="1">
      <x v="15"/>
      <x v="4"/>
    </i>
    <i r="1">
      <x v="16"/>
      <x v="54"/>
    </i>
    <i r="1">
      <x v="17"/>
      <x v="48"/>
    </i>
    <i r="1">
      <x v="18"/>
      <x v="46"/>
    </i>
    <i r="1">
      <x v="19"/>
      <x v="37"/>
    </i>
    <i t="blank">
      <x v="38"/>
    </i>
    <i>
      <x v="39"/>
    </i>
    <i r="1">
      <x/>
      <x v="52"/>
    </i>
    <i r="1">
      <x v="1"/>
      <x v="2"/>
    </i>
    <i r="1">
      <x v="2"/>
      <x v="1"/>
    </i>
    <i r="1">
      <x v="3"/>
      <x v="50"/>
    </i>
    <i r="1">
      <x v="4"/>
      <x v="40"/>
    </i>
    <i r="1">
      <x v="5"/>
      <x v="38"/>
    </i>
    <i r="1">
      <x v="6"/>
      <x v="3"/>
    </i>
    <i r="1">
      <x v="7"/>
      <x v="39"/>
    </i>
    <i r="1">
      <x v="8"/>
      <x v="44"/>
    </i>
    <i r="1">
      <x v="9"/>
      <x v="59"/>
    </i>
    <i r="1">
      <x v="10"/>
      <x v="56"/>
    </i>
    <i r="1">
      <x v="11"/>
      <x v="37"/>
    </i>
    <i r="2">
      <x v="55"/>
    </i>
    <i r="1">
      <x v="13"/>
      <x v="4"/>
    </i>
    <i r="2">
      <x v="46"/>
    </i>
    <i r="2">
      <x v="48"/>
    </i>
    <i r="1">
      <x v="16"/>
      <x v="53"/>
    </i>
    <i r="1">
      <x v="17"/>
      <x v="33"/>
    </i>
    <i r="1">
      <x v="18"/>
      <x v="43"/>
    </i>
    <i r="1">
      <x v="19"/>
      <x v="34"/>
    </i>
    <i r="2">
      <x v="36"/>
    </i>
    <i t="blank">
      <x v="39"/>
    </i>
    <i>
      <x v="40"/>
    </i>
    <i r="1">
      <x/>
      <x v="52"/>
    </i>
    <i r="1">
      <x v="1"/>
      <x v="40"/>
    </i>
    <i r="1">
      <x v="2"/>
      <x v="50"/>
    </i>
    <i r="1">
      <x v="3"/>
      <x v="1"/>
    </i>
    <i r="1">
      <x v="4"/>
      <x v="2"/>
    </i>
    <i r="1">
      <x v="5"/>
      <x v="38"/>
    </i>
    <i r="1">
      <x v="6"/>
      <x v="3"/>
    </i>
    <i r="1">
      <x v="7"/>
      <x v="44"/>
    </i>
    <i r="1">
      <x v="8"/>
      <x v="39"/>
    </i>
    <i r="1">
      <x v="9"/>
      <x v="37"/>
    </i>
    <i r="2">
      <x v="59"/>
    </i>
    <i r="1">
      <x v="11"/>
      <x v="56"/>
    </i>
    <i r="1">
      <x v="12"/>
      <x v="34"/>
    </i>
    <i r="1">
      <x v="13"/>
      <x v="55"/>
    </i>
    <i r="1">
      <x v="14"/>
      <x v="48"/>
    </i>
    <i r="1">
      <x v="15"/>
      <x v="46"/>
    </i>
    <i r="1">
      <x v="16"/>
      <x v="53"/>
    </i>
    <i r="1">
      <x v="17"/>
      <x v="33"/>
    </i>
    <i r="1">
      <x v="18"/>
      <x v="36"/>
    </i>
    <i r="1">
      <x v="19"/>
      <x v="4"/>
    </i>
    <i t="blank">
      <x v="40"/>
    </i>
    <i>
      <x v="41"/>
    </i>
    <i r="1">
      <x/>
      <x v="52"/>
    </i>
    <i r="1">
      <x v="1"/>
      <x v="1"/>
    </i>
    <i r="1">
      <x v="2"/>
      <x v="50"/>
    </i>
    <i r="1">
      <x v="3"/>
      <x v="40"/>
    </i>
    <i r="1">
      <x v="4"/>
      <x v="2"/>
    </i>
    <i r="1">
      <x v="5"/>
      <x v="3"/>
    </i>
    <i r="1">
      <x v="6"/>
      <x v="38"/>
    </i>
    <i r="2">
      <x v="44"/>
    </i>
    <i r="1">
      <x v="8"/>
      <x v="59"/>
    </i>
    <i r="1">
      <x v="9"/>
      <x v="56"/>
    </i>
    <i r="1">
      <x v="10"/>
      <x v="39"/>
    </i>
    <i r="1">
      <x v="11"/>
      <x v="18"/>
    </i>
    <i r="1">
      <x v="12"/>
      <x v="46"/>
    </i>
    <i r="1">
      <x v="13"/>
      <x v="34"/>
    </i>
    <i r="1">
      <x v="14"/>
      <x v="8"/>
    </i>
    <i r="2">
      <x v="48"/>
    </i>
    <i r="1">
      <x v="16"/>
      <x v="37"/>
    </i>
    <i r="2">
      <x v="57"/>
    </i>
    <i r="1">
      <x v="18"/>
      <x v="36"/>
    </i>
    <i r="2">
      <x v="61"/>
    </i>
    <i t="blank">
      <x v="41"/>
    </i>
    <i>
      <x v="42"/>
    </i>
    <i r="1">
      <x/>
      <x v="52"/>
    </i>
    <i r="1">
      <x v="1"/>
      <x v="40"/>
    </i>
    <i r="1">
      <x v="2"/>
      <x v="50"/>
    </i>
    <i r="1">
      <x v="3"/>
      <x v="1"/>
    </i>
    <i r="1">
      <x v="4"/>
      <x v="2"/>
    </i>
    <i r="2">
      <x v="38"/>
    </i>
    <i r="1">
      <x v="6"/>
      <x v="3"/>
    </i>
    <i r="1">
      <x v="7"/>
      <x v="44"/>
    </i>
    <i r="1">
      <x v="8"/>
      <x v="54"/>
    </i>
    <i r="2">
      <x v="56"/>
    </i>
    <i r="1">
      <x v="10"/>
      <x v="39"/>
    </i>
    <i r="1">
      <x v="11"/>
      <x v="55"/>
    </i>
    <i r="1">
      <x v="12"/>
      <x v="37"/>
    </i>
    <i r="1">
      <x v="13"/>
      <x v="33"/>
    </i>
    <i r="1">
      <x v="14"/>
      <x v="43"/>
    </i>
    <i r="2">
      <x v="59"/>
    </i>
    <i r="1">
      <x v="16"/>
      <x v="46"/>
    </i>
    <i r="2">
      <x v="49"/>
    </i>
    <i r="1">
      <x v="18"/>
      <x v="25"/>
    </i>
    <i r="2">
      <x v="48"/>
    </i>
    <i t="blank">
      <x v="42"/>
    </i>
    <i>
      <x v="43"/>
    </i>
    <i r="1">
      <x/>
      <x v="52"/>
    </i>
    <i r="1">
      <x v="1"/>
      <x v="50"/>
    </i>
    <i r="1">
      <x v="2"/>
      <x v="44"/>
    </i>
    <i r="1">
      <x v="3"/>
      <x v="1"/>
    </i>
    <i r="1">
      <x v="4"/>
      <x v="2"/>
    </i>
    <i r="1">
      <x v="5"/>
      <x v="40"/>
    </i>
    <i r="1">
      <x v="6"/>
      <x v="3"/>
    </i>
    <i r="1">
      <x v="7"/>
      <x v="38"/>
    </i>
    <i r="1">
      <x v="8"/>
      <x v="55"/>
    </i>
    <i r="2">
      <x v="56"/>
    </i>
    <i r="1">
      <x v="10"/>
      <x v="39"/>
    </i>
    <i r="1">
      <x v="11"/>
      <x v="43"/>
    </i>
    <i r="1">
      <x v="12"/>
      <x v="46"/>
    </i>
    <i r="1">
      <x v="13"/>
      <x v="53"/>
    </i>
    <i r="1">
      <x v="14"/>
      <x v="37"/>
    </i>
    <i r="1">
      <x v="15"/>
      <x v="48"/>
    </i>
    <i r="1">
      <x v="16"/>
      <x v="57"/>
    </i>
    <i r="1">
      <x v="17"/>
      <x v="59"/>
    </i>
    <i r="1">
      <x v="18"/>
      <x v="4"/>
    </i>
    <i r="1">
      <x v="19"/>
      <x v="34"/>
    </i>
    <i t="blank">
      <x v="43"/>
    </i>
    <i>
      <x v="44"/>
    </i>
    <i r="1">
      <x/>
      <x v="37"/>
    </i>
    <i r="2">
      <x v="52"/>
    </i>
    <i r="1">
      <x v="2"/>
      <x v="40"/>
    </i>
    <i r="1">
      <x v="3"/>
      <x v="44"/>
    </i>
    <i r="2">
      <x v="50"/>
    </i>
    <i r="1">
      <x v="5"/>
      <x v="39"/>
    </i>
    <i r="1">
      <x v="6"/>
      <x v="1"/>
    </i>
    <i r="1">
      <x v="7"/>
      <x v="2"/>
    </i>
    <i r="1">
      <x v="8"/>
      <x v="56"/>
    </i>
    <i r="1">
      <x v="9"/>
      <x v="55"/>
    </i>
    <i r="1">
      <x v="10"/>
      <x v="38"/>
    </i>
    <i r="2">
      <x v="48"/>
    </i>
    <i r="1">
      <x v="12"/>
      <x v="46"/>
    </i>
    <i r="1">
      <x v="13"/>
      <x v="3"/>
    </i>
    <i r="2">
      <x v="35"/>
    </i>
    <i r="2">
      <x v="53"/>
    </i>
    <i r="2">
      <x v="57"/>
    </i>
    <i r="1">
      <x v="17"/>
      <x v="43"/>
    </i>
    <i r="1">
      <x v="18"/>
      <x v="51"/>
    </i>
    <i r="2">
      <x v="59"/>
    </i>
    <i r="2">
      <x v="61"/>
    </i>
    <i t="blank">
      <x v="44"/>
    </i>
    <i>
      <x v="45"/>
    </i>
    <i r="1">
      <x/>
      <x v="52"/>
    </i>
    <i r="1">
      <x v="1"/>
      <x v="1"/>
    </i>
    <i r="1">
      <x v="2"/>
      <x v="40"/>
    </i>
    <i r="1">
      <x v="3"/>
      <x v="50"/>
    </i>
    <i r="1">
      <x v="4"/>
      <x v="2"/>
    </i>
    <i r="1">
      <x v="5"/>
      <x v="56"/>
    </i>
    <i r="1">
      <x v="6"/>
      <x v="38"/>
    </i>
    <i r="1">
      <x v="7"/>
      <x v="3"/>
    </i>
    <i r="1">
      <x v="8"/>
      <x v="59"/>
    </i>
    <i r="1">
      <x v="9"/>
      <x v="48"/>
    </i>
    <i r="1">
      <x v="10"/>
      <x v="44"/>
    </i>
    <i r="1">
      <x v="11"/>
      <x v="41"/>
    </i>
    <i r="2">
      <x v="55"/>
    </i>
    <i r="1">
      <x v="13"/>
      <x v="33"/>
    </i>
    <i r="2">
      <x v="46"/>
    </i>
    <i r="1">
      <x v="15"/>
      <x v="37"/>
    </i>
    <i r="2">
      <x v="39"/>
    </i>
    <i r="1">
      <x v="17"/>
      <x v="34"/>
    </i>
    <i r="2">
      <x v="42"/>
    </i>
    <i r="2">
      <x v="43"/>
    </i>
    <i r="2">
      <x v="53"/>
    </i>
    <i r="2">
      <x v="54"/>
    </i>
    <i t="blank">
      <x v="45"/>
    </i>
    <i>
      <x v="46"/>
    </i>
    <i r="1">
      <x/>
      <x v="52"/>
    </i>
    <i r="1">
      <x v="1"/>
      <x v="1"/>
    </i>
    <i r="1">
      <x v="2"/>
      <x v="38"/>
    </i>
    <i r="2">
      <x v="50"/>
    </i>
    <i r="1">
      <x v="4"/>
      <x v="40"/>
    </i>
    <i r="1">
      <x v="5"/>
      <x v="55"/>
    </i>
    <i r="1">
      <x v="6"/>
      <x v="56"/>
    </i>
    <i r="1">
      <x v="7"/>
      <x v="2"/>
    </i>
    <i r="2">
      <x v="18"/>
    </i>
    <i r="2">
      <x v="59"/>
    </i>
    <i r="1">
      <x v="10"/>
      <x v="3"/>
    </i>
    <i r="2">
      <x v="33"/>
    </i>
    <i r="2">
      <x v="39"/>
    </i>
    <i r="2">
      <x v="44"/>
    </i>
    <i r="2">
      <x v="57"/>
    </i>
    <i r="1">
      <x v="15"/>
      <x v="4"/>
    </i>
    <i r="2">
      <x v="22"/>
    </i>
    <i r="2">
      <x v="37"/>
    </i>
    <i r="2">
      <x v="53"/>
    </i>
    <i r="1">
      <x v="19"/>
      <x v="5"/>
    </i>
    <i r="2">
      <x v="10"/>
    </i>
    <i r="2">
      <x v="13"/>
    </i>
    <i r="2">
      <x v="15"/>
    </i>
    <i r="2">
      <x v="17"/>
    </i>
    <i r="2">
      <x v="19"/>
    </i>
    <i r="2">
      <x v="20"/>
    </i>
    <i r="2">
      <x v="30"/>
    </i>
    <i r="2">
      <x v="34"/>
    </i>
    <i r="2">
      <x v="36"/>
    </i>
    <i r="2">
      <x v="42"/>
    </i>
    <i r="2">
      <x v="45"/>
    </i>
    <i r="2">
      <x v="48"/>
    </i>
    <i r="2">
      <x v="51"/>
    </i>
    <i r="2">
      <x v="58"/>
    </i>
    <i r="2">
      <x v="61"/>
    </i>
    <i t="blank">
      <x v="46"/>
    </i>
    <i>
      <x v="47"/>
    </i>
    <i r="1">
      <x/>
      <x v="52"/>
    </i>
    <i r="1">
      <x v="1"/>
      <x v="1"/>
    </i>
    <i r="1">
      <x v="2"/>
      <x v="2"/>
    </i>
    <i r="1">
      <x v="3"/>
      <x v="50"/>
    </i>
    <i r="1">
      <x v="4"/>
      <x v="38"/>
    </i>
    <i r="2">
      <x v="40"/>
    </i>
    <i r="1">
      <x v="6"/>
      <x v="44"/>
    </i>
    <i r="1">
      <x v="7"/>
      <x v="3"/>
    </i>
    <i r="1">
      <x v="8"/>
      <x v="39"/>
    </i>
    <i r="2">
      <x v="59"/>
    </i>
    <i r="1">
      <x v="10"/>
      <x v="56"/>
    </i>
    <i r="1">
      <x v="11"/>
      <x v="36"/>
    </i>
    <i r="1">
      <x v="12"/>
      <x v="37"/>
    </i>
    <i r="2">
      <x v="46"/>
    </i>
    <i r="2">
      <x v="48"/>
    </i>
    <i r="1">
      <x v="15"/>
      <x v="33"/>
    </i>
    <i r="1">
      <x v="16"/>
      <x v="55"/>
    </i>
    <i r="1">
      <x v="17"/>
      <x v="18"/>
    </i>
    <i r="2">
      <x v="43"/>
    </i>
    <i r="1">
      <x v="19"/>
      <x v="8"/>
    </i>
    <i r="2">
      <x v="26"/>
    </i>
    <i r="2">
      <x v="42"/>
    </i>
    <i t="blank">
      <x v="47"/>
    </i>
    <i>
      <x v="48"/>
    </i>
    <i r="1">
      <x/>
      <x v="52"/>
    </i>
    <i r="1">
      <x v="1"/>
      <x v="2"/>
    </i>
    <i r="1">
      <x v="2"/>
      <x v="40"/>
    </i>
    <i r="1">
      <x v="3"/>
      <x v="14"/>
    </i>
    <i r="1">
      <x v="4"/>
      <x v="1"/>
    </i>
    <i r="2">
      <x v="50"/>
    </i>
    <i r="1">
      <x v="6"/>
      <x v="38"/>
    </i>
    <i r="1">
      <x v="7"/>
      <x v="3"/>
    </i>
    <i r="1">
      <x v="8"/>
      <x v="56"/>
    </i>
    <i r="2">
      <x v="59"/>
    </i>
    <i r="1">
      <x v="10"/>
      <x v="37"/>
    </i>
    <i r="2">
      <x v="39"/>
    </i>
    <i r="2">
      <x v="55"/>
    </i>
    <i r="1">
      <x v="13"/>
      <x v="57"/>
    </i>
    <i r="1">
      <x v="14"/>
      <x v="18"/>
    </i>
    <i r="1">
      <x v="15"/>
      <x v="24"/>
    </i>
    <i r="2">
      <x v="36"/>
    </i>
    <i r="2">
      <x v="48"/>
    </i>
    <i r="2">
      <x v="51"/>
    </i>
    <i r="1">
      <x v="19"/>
      <x v="6"/>
    </i>
    <i r="2">
      <x v="25"/>
    </i>
    <i r="2">
      <x v="26"/>
    </i>
    <i r="2">
      <x v="33"/>
    </i>
    <i r="2">
      <x v="44"/>
    </i>
    <i r="2">
      <x v="54"/>
    </i>
    <i t="blank">
      <x v="48"/>
    </i>
    <i>
      <x v="49"/>
    </i>
    <i r="1">
      <x/>
      <x v="52"/>
    </i>
    <i r="1">
      <x v="1"/>
      <x v="50"/>
    </i>
    <i r="1">
      <x v="2"/>
      <x v="1"/>
    </i>
    <i r="1">
      <x v="3"/>
      <x v="4"/>
    </i>
    <i r="1">
      <x v="4"/>
      <x v="40"/>
    </i>
    <i r="1">
      <x v="5"/>
      <x v="2"/>
    </i>
    <i r="2">
      <x v="3"/>
    </i>
    <i r="2">
      <x v="38"/>
    </i>
    <i r="1">
      <x v="8"/>
      <x v="59"/>
    </i>
    <i r="1">
      <x v="9"/>
      <x v="56"/>
    </i>
    <i r="1">
      <x v="10"/>
      <x v="39"/>
    </i>
    <i r="1">
      <x v="11"/>
      <x v="44"/>
    </i>
    <i r="2">
      <x v="49"/>
    </i>
    <i r="1">
      <x v="13"/>
      <x v="37"/>
    </i>
    <i r="1">
      <x v="14"/>
      <x v="48"/>
    </i>
    <i r="1">
      <x v="15"/>
      <x v="20"/>
    </i>
    <i r="1">
      <x v="16"/>
      <x v="18"/>
    </i>
    <i r="2">
      <x v="34"/>
    </i>
    <i r="2">
      <x v="55"/>
    </i>
    <i r="2">
      <x v="57"/>
    </i>
    <i t="blank">
      <x v="49"/>
    </i>
    <i>
      <x v="50"/>
    </i>
    <i r="1">
      <x/>
      <x v="1"/>
    </i>
    <i r="1">
      <x v="1"/>
      <x v="40"/>
    </i>
    <i r="2">
      <x v="50"/>
    </i>
    <i r="2">
      <x v="52"/>
    </i>
    <i r="1">
      <x v="4"/>
      <x v="32"/>
    </i>
    <i r="2">
      <x v="59"/>
    </i>
    <i r="1">
      <x v="6"/>
      <x v="2"/>
    </i>
    <i r="2">
      <x v="18"/>
    </i>
    <i r="2">
      <x v="38"/>
    </i>
    <i r="1">
      <x v="9"/>
      <x v="31"/>
    </i>
    <i r="2">
      <x v="44"/>
    </i>
    <i r="1">
      <x v="11"/>
      <x v="34"/>
    </i>
    <i r="1">
      <x v="12"/>
      <x v="3"/>
    </i>
    <i r="2">
      <x v="5"/>
    </i>
    <i r="2">
      <x v="30"/>
    </i>
    <i r="2">
      <x v="55"/>
    </i>
    <i r="2">
      <x v="56"/>
    </i>
    <i r="2">
      <x v="61"/>
    </i>
    <i r="1">
      <x v="18"/>
      <x v="15"/>
    </i>
    <i r="2">
      <x v="33"/>
    </i>
    <i r="2">
      <x v="41"/>
    </i>
    <i r="2">
      <x v="48"/>
    </i>
    <i t="blank">
      <x v="50"/>
    </i>
    <i>
      <x v="51"/>
    </i>
    <i r="1">
      <x/>
      <x v="52"/>
    </i>
    <i r="1">
      <x v="1"/>
      <x v="2"/>
    </i>
    <i r="1">
      <x v="2"/>
      <x v="1"/>
    </i>
    <i r="1">
      <x v="3"/>
      <x v="50"/>
    </i>
    <i r="1">
      <x v="4"/>
      <x v="40"/>
    </i>
    <i r="1">
      <x v="5"/>
      <x v="3"/>
    </i>
    <i r="1">
      <x v="6"/>
      <x v="38"/>
    </i>
    <i r="1">
      <x v="7"/>
      <x v="39"/>
    </i>
    <i r="2">
      <x v="44"/>
    </i>
    <i r="1">
      <x v="9"/>
      <x v="59"/>
    </i>
    <i r="1">
      <x v="10"/>
      <x v="46"/>
    </i>
    <i r="2">
      <x v="55"/>
    </i>
    <i r="2">
      <x v="56"/>
    </i>
    <i r="1">
      <x v="13"/>
      <x v="18"/>
    </i>
    <i r="2">
      <x v="36"/>
    </i>
    <i r="2">
      <x v="37"/>
    </i>
    <i r="1">
      <x v="16"/>
      <x v="43"/>
    </i>
    <i r="2">
      <x v="49"/>
    </i>
    <i r="1">
      <x v="18"/>
      <x v="42"/>
    </i>
    <i r="1">
      <x v="19"/>
      <x v="30"/>
    </i>
    <i r="2">
      <x v="33"/>
    </i>
    <i r="2">
      <x v="41"/>
    </i>
    <i r="2">
      <x v="53"/>
    </i>
    <i r="2">
      <x v="61"/>
    </i>
    <i t="blank">
      <x v="51"/>
    </i>
    <i>
      <x v="52"/>
    </i>
    <i r="1">
      <x/>
      <x v="50"/>
    </i>
    <i r="1">
      <x v="1"/>
      <x v="52"/>
    </i>
    <i r="1">
      <x v="2"/>
      <x v="40"/>
    </i>
    <i r="1">
      <x v="3"/>
      <x v="38"/>
    </i>
    <i r="1">
      <x v="4"/>
      <x v="1"/>
    </i>
    <i r="2">
      <x v="56"/>
    </i>
    <i r="1">
      <x v="6"/>
      <x v="2"/>
    </i>
    <i r="1">
      <x v="7"/>
      <x v="39"/>
    </i>
    <i r="1">
      <x v="8"/>
      <x v="37"/>
    </i>
    <i r="2">
      <x v="59"/>
    </i>
    <i r="1">
      <x v="10"/>
      <x v="3"/>
    </i>
    <i r="2">
      <x v="44"/>
    </i>
    <i r="1">
      <x v="12"/>
      <x v="46"/>
    </i>
    <i r="2">
      <x v="53"/>
    </i>
    <i r="2">
      <x v="55"/>
    </i>
    <i r="1">
      <x v="15"/>
      <x v="57"/>
    </i>
    <i r="1">
      <x v="16"/>
      <x v="43"/>
    </i>
    <i r="2">
      <x v="48"/>
    </i>
    <i r="2">
      <x v="51"/>
    </i>
    <i r="1">
      <x v="19"/>
      <x v="36"/>
    </i>
    <i r="2">
      <x v="54"/>
    </i>
    <i t="blank">
      <x v="52"/>
    </i>
    <i>
      <x v="53"/>
    </i>
    <i r="1">
      <x/>
      <x v="52"/>
    </i>
    <i r="1">
      <x v="1"/>
      <x v="1"/>
    </i>
    <i r="1">
      <x v="2"/>
      <x v="38"/>
    </i>
    <i r="1">
      <x v="3"/>
      <x v="2"/>
    </i>
    <i r="2">
      <x v="3"/>
    </i>
    <i r="2">
      <x v="50"/>
    </i>
    <i r="1">
      <x v="6"/>
      <x v="40"/>
    </i>
    <i r="1">
      <x v="7"/>
      <x v="55"/>
    </i>
    <i r="2">
      <x v="59"/>
    </i>
    <i r="1">
      <x v="9"/>
      <x v="33"/>
    </i>
    <i r="1">
      <x v="10"/>
      <x v="15"/>
    </i>
    <i r="2">
      <x v="18"/>
    </i>
    <i r="2">
      <x v="20"/>
    </i>
    <i r="2">
      <x v="34"/>
    </i>
    <i r="2">
      <x v="39"/>
    </i>
    <i r="2">
      <x v="44"/>
    </i>
    <i r="2">
      <x v="48"/>
    </i>
    <i r="2">
      <x v="53"/>
    </i>
    <i r="1">
      <x v="18"/>
      <x v="4"/>
    </i>
    <i r="2">
      <x v="9"/>
    </i>
    <i r="2">
      <x v="10"/>
    </i>
    <i r="2">
      <x v="16"/>
    </i>
    <i r="2">
      <x v="23"/>
    </i>
    <i r="2">
      <x v="25"/>
    </i>
    <i r="2">
      <x v="27"/>
    </i>
    <i r="2">
      <x v="30"/>
    </i>
    <i r="2">
      <x v="32"/>
    </i>
    <i r="2">
      <x v="35"/>
    </i>
    <i r="2">
      <x v="37"/>
    </i>
    <i r="2">
      <x v="41"/>
    </i>
    <i r="2">
      <x v="42"/>
    </i>
    <i r="2">
      <x v="47"/>
    </i>
    <i r="2">
      <x v="54"/>
    </i>
    <i r="2">
      <x v="57"/>
    </i>
    <i r="2">
      <x v="58"/>
    </i>
    <i t="blank">
      <x v="53"/>
    </i>
    <i>
      <x v="54"/>
    </i>
    <i r="1">
      <x/>
      <x v="1"/>
    </i>
    <i r="1">
      <x v="1"/>
      <x v="50"/>
    </i>
    <i r="2">
      <x v="52"/>
    </i>
    <i r="1">
      <x v="3"/>
      <x v="2"/>
    </i>
    <i r="1">
      <x v="4"/>
      <x v="59"/>
    </i>
    <i r="1">
      <x v="5"/>
      <x v="3"/>
    </i>
    <i r="1">
      <x v="6"/>
      <x v="40"/>
    </i>
    <i r="1">
      <x v="7"/>
      <x v="38"/>
    </i>
    <i r="2">
      <x v="55"/>
    </i>
    <i r="1">
      <x v="9"/>
      <x v="39"/>
    </i>
    <i r="2">
      <x v="56"/>
    </i>
    <i r="1">
      <x v="11"/>
      <x v="43"/>
    </i>
    <i r="1">
      <x v="12"/>
      <x v="49"/>
    </i>
    <i r="1">
      <x v="13"/>
      <x v="37"/>
    </i>
    <i r="1">
      <x v="14"/>
      <x v="48"/>
    </i>
    <i r="1">
      <x v="15"/>
      <x v="18"/>
    </i>
    <i r="2">
      <x v="35"/>
    </i>
    <i r="2">
      <x v="44"/>
    </i>
    <i r="2">
      <x v="51"/>
    </i>
    <i r="1">
      <x v="19"/>
      <x v="8"/>
    </i>
    <i r="2">
      <x v="11"/>
    </i>
    <i r="2">
      <x v="26"/>
    </i>
    <i r="2">
      <x v="46"/>
    </i>
    <i r="2">
      <x v="53"/>
    </i>
    <i r="2">
      <x v="57"/>
    </i>
    <i t="blank">
      <x v="54"/>
    </i>
    <i>
      <x v="55"/>
    </i>
    <i r="1">
      <x/>
      <x v="52"/>
    </i>
    <i r="1">
      <x v="1"/>
      <x v="50"/>
    </i>
    <i r="1">
      <x v="2"/>
      <x v="1"/>
    </i>
    <i r="1">
      <x v="3"/>
      <x v="2"/>
    </i>
    <i r="1">
      <x v="4"/>
      <x v="3"/>
    </i>
    <i r="2">
      <x v="38"/>
    </i>
    <i r="1">
      <x v="6"/>
      <x v="49"/>
    </i>
    <i r="1">
      <x v="7"/>
      <x v="39"/>
    </i>
    <i r="1">
      <x v="8"/>
      <x v="40"/>
    </i>
    <i r="1">
      <x v="9"/>
      <x v="4"/>
    </i>
    <i r="1">
      <x v="10"/>
      <x v="37"/>
    </i>
    <i r="1">
      <x v="11"/>
      <x v="56"/>
    </i>
    <i r="1">
      <x v="12"/>
      <x v="18"/>
    </i>
    <i r="2">
      <x v="25"/>
    </i>
    <i r="2">
      <x v="44"/>
    </i>
    <i r="2">
      <x v="59"/>
    </i>
    <i r="2">
      <x v="61"/>
    </i>
    <i r="1">
      <x v="17"/>
      <x v="20"/>
    </i>
    <i r="2">
      <x v="33"/>
    </i>
    <i r="2">
      <x v="34"/>
    </i>
    <i r="2">
      <x v="48"/>
    </i>
    <i t="blank">
      <x v="55"/>
    </i>
    <i>
      <x v="56"/>
    </i>
    <i r="1">
      <x/>
      <x v="1"/>
    </i>
    <i r="1">
      <x v="1"/>
      <x v="50"/>
    </i>
    <i r="1">
      <x v="2"/>
      <x v="3"/>
    </i>
    <i r="2">
      <x v="52"/>
    </i>
    <i r="1">
      <x v="4"/>
      <x v="40"/>
    </i>
    <i r="1">
      <x v="5"/>
      <x v="38"/>
    </i>
    <i r="1">
      <x v="6"/>
      <x v="59"/>
    </i>
    <i r="1">
      <x v="7"/>
      <x v="2"/>
    </i>
    <i r="2">
      <x v="18"/>
    </i>
    <i r="2">
      <x v="19"/>
    </i>
    <i r="2">
      <x v="44"/>
    </i>
    <i r="1">
      <x v="11"/>
      <x v="39"/>
    </i>
    <i r="2">
      <x v="58"/>
    </i>
    <i r="1">
      <x v="13"/>
      <x v="12"/>
    </i>
    <i r="2">
      <x v="16"/>
    </i>
    <i r="2">
      <x v="55"/>
    </i>
    <i r="2">
      <x v="61"/>
    </i>
    <i r="1">
      <x v="17"/>
      <x v="7"/>
    </i>
    <i r="2">
      <x v="15"/>
    </i>
    <i r="2">
      <x v="20"/>
    </i>
    <i r="2">
      <x v="21"/>
    </i>
    <i r="2">
      <x v="25"/>
    </i>
    <i r="2">
      <x v="37"/>
    </i>
    <i r="2">
      <x v="43"/>
    </i>
    <i r="2">
      <x v="46"/>
    </i>
    <i r="2">
      <x v="48"/>
    </i>
    <i r="2">
      <x v="49"/>
    </i>
    <i t="blank">
      <x v="56"/>
    </i>
    <i>
      <x v="57"/>
    </i>
    <i r="1">
      <x/>
      <x v="50"/>
    </i>
    <i r="1">
      <x v="1"/>
      <x v="1"/>
    </i>
    <i r="2">
      <x v="52"/>
    </i>
    <i r="1">
      <x v="3"/>
      <x v="2"/>
    </i>
    <i r="2">
      <x v="38"/>
    </i>
    <i r="1">
      <x v="5"/>
      <x v="40"/>
    </i>
    <i r="2">
      <x v="59"/>
    </i>
    <i r="1">
      <x v="7"/>
      <x v="3"/>
    </i>
    <i r="1">
      <x v="8"/>
      <x v="56"/>
    </i>
    <i r="1">
      <x v="9"/>
      <x v="39"/>
    </i>
    <i r="1">
      <x v="10"/>
      <x v="18"/>
    </i>
    <i r="2">
      <x v="33"/>
    </i>
    <i r="2">
      <x v="35"/>
    </i>
    <i r="2">
      <x v="55"/>
    </i>
    <i r="1">
      <x v="14"/>
      <x v="4"/>
    </i>
    <i r="2">
      <x v="6"/>
    </i>
    <i r="2">
      <x v="7"/>
    </i>
    <i r="2">
      <x v="8"/>
    </i>
    <i r="2">
      <x v="12"/>
    </i>
    <i r="2">
      <x v="15"/>
    </i>
    <i r="2">
      <x v="20"/>
    </i>
    <i r="2">
      <x v="29"/>
    </i>
    <i r="2">
      <x v="30"/>
    </i>
    <i r="2">
      <x v="36"/>
    </i>
    <i r="2">
      <x v="41"/>
    </i>
    <i r="2">
      <x v="44"/>
    </i>
    <i r="2">
      <x v="51"/>
    </i>
    <i r="2">
      <x v="57"/>
    </i>
    <i t="blank">
      <x v="57"/>
    </i>
    <i>
      <x v="58"/>
    </i>
    <i r="1">
      <x/>
      <x v="50"/>
    </i>
    <i r="1">
      <x v="1"/>
      <x v="40"/>
    </i>
    <i r="1">
      <x v="2"/>
      <x v="52"/>
    </i>
    <i r="1">
      <x v="3"/>
      <x v="2"/>
    </i>
    <i r="1">
      <x v="4"/>
      <x v="1"/>
    </i>
    <i r="2">
      <x v="38"/>
    </i>
    <i r="1">
      <x v="6"/>
      <x v="3"/>
    </i>
    <i r="2">
      <x v="39"/>
    </i>
    <i r="1">
      <x v="8"/>
      <x v="59"/>
    </i>
    <i r="1">
      <x v="9"/>
      <x v="4"/>
    </i>
    <i r="2">
      <x v="18"/>
    </i>
    <i r="1">
      <x v="11"/>
      <x v="7"/>
    </i>
    <i r="2">
      <x v="44"/>
    </i>
    <i r="1">
      <x v="13"/>
      <x v="15"/>
    </i>
    <i r="2">
      <x v="34"/>
    </i>
    <i r="2">
      <x v="49"/>
    </i>
    <i r="2">
      <x v="56"/>
    </i>
    <i r="1">
      <x v="17"/>
      <x v="41"/>
    </i>
    <i r="2">
      <x v="54"/>
    </i>
    <i r="2">
      <x v="55"/>
    </i>
    <i t="blank">
      <x v="58"/>
    </i>
    <i>
      <x v="59"/>
    </i>
    <i r="1">
      <x/>
      <x v="50"/>
    </i>
    <i r="1">
      <x v="1"/>
      <x v="52"/>
    </i>
    <i r="1">
      <x v="2"/>
      <x v="49"/>
    </i>
    <i r="1">
      <x v="3"/>
      <x v="1"/>
    </i>
    <i r="1">
      <x v="4"/>
      <x v="40"/>
    </i>
    <i r="1">
      <x v="5"/>
      <x v="38"/>
    </i>
    <i r="1">
      <x v="6"/>
      <x v="44"/>
    </i>
    <i r="1">
      <x v="7"/>
      <x v="2"/>
    </i>
    <i r="1">
      <x v="8"/>
      <x v="39"/>
    </i>
    <i r="1">
      <x v="9"/>
      <x v="54"/>
    </i>
    <i r="1">
      <x v="10"/>
      <x v="3"/>
    </i>
    <i r="2">
      <x v="55"/>
    </i>
    <i r="2">
      <x v="56"/>
    </i>
    <i r="1">
      <x v="13"/>
      <x v="46"/>
    </i>
    <i r="1">
      <x v="14"/>
      <x v="33"/>
    </i>
    <i r="2">
      <x v="43"/>
    </i>
    <i r="2">
      <x v="59"/>
    </i>
    <i r="1">
      <x v="17"/>
      <x v="6"/>
    </i>
    <i r="2">
      <x v="10"/>
    </i>
    <i r="2">
      <x v="20"/>
    </i>
    <i r="2">
      <x v="22"/>
    </i>
    <i r="2">
      <x v="25"/>
    </i>
    <i r="2">
      <x v="28"/>
    </i>
    <i r="2">
      <x v="29"/>
    </i>
    <i r="2">
      <x v="34"/>
    </i>
    <i r="2">
      <x v="37"/>
    </i>
    <i r="2">
      <x v="48"/>
    </i>
    <i r="2">
      <x v="53"/>
    </i>
    <i t="blank">
      <x v="59"/>
    </i>
    <i>
      <x v="60"/>
    </i>
    <i r="1">
      <x/>
      <x v="50"/>
    </i>
    <i r="1">
      <x v="1"/>
      <x v="38"/>
    </i>
    <i r="1">
      <x v="2"/>
      <x v="52"/>
    </i>
    <i r="1">
      <x v="3"/>
      <x v="1"/>
    </i>
    <i r="2">
      <x v="2"/>
    </i>
    <i r="1">
      <x v="5"/>
      <x v="40"/>
    </i>
    <i r="1">
      <x v="6"/>
      <x v="49"/>
    </i>
    <i r="1">
      <x v="7"/>
      <x v="3"/>
    </i>
    <i r="2">
      <x v="33"/>
    </i>
    <i r="2">
      <x v="34"/>
    </i>
    <i r="2">
      <x v="37"/>
    </i>
    <i r="2">
      <x v="55"/>
    </i>
    <i r="1">
      <x v="12"/>
      <x v="57"/>
    </i>
    <i r="2">
      <x v="59"/>
    </i>
    <i r="1">
      <x v="14"/>
      <x v="54"/>
    </i>
    <i r="2">
      <x v="56"/>
    </i>
    <i r="1">
      <x v="16"/>
      <x v="5"/>
    </i>
    <i r="2">
      <x v="58"/>
    </i>
    <i r="1">
      <x v="18"/>
      <x/>
    </i>
    <i r="2">
      <x v="4"/>
    </i>
    <i r="2">
      <x v="18"/>
    </i>
    <i r="2">
      <x v="32"/>
    </i>
    <i r="2">
      <x v="35"/>
    </i>
    <i r="2">
      <x v="39"/>
    </i>
    <i r="2">
      <x v="44"/>
    </i>
    <i r="2">
      <x v="46"/>
    </i>
    <i r="2">
      <x v="48"/>
    </i>
    <i r="2">
      <x v="53"/>
    </i>
    <i r="2">
      <x v="60"/>
    </i>
    <i r="2">
      <x v="61"/>
    </i>
    <i t="blank">
      <x v="6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887">
      <pivotArea field="2" type="button" dataOnly="0" labelOnly="1" outline="0" axis="axisRow" fieldPosition="0"/>
    </format>
    <format dxfId="886">
      <pivotArea outline="0" fieldPosition="0">
        <references count="1">
          <reference field="4294967294" count="1">
            <x v="0"/>
          </reference>
        </references>
      </pivotArea>
    </format>
    <format dxfId="885">
      <pivotArea outline="0" fieldPosition="0">
        <references count="1">
          <reference field="4294967294" count="1">
            <x v="1"/>
          </reference>
        </references>
      </pivotArea>
    </format>
    <format dxfId="884">
      <pivotArea outline="0" fieldPosition="0">
        <references count="1">
          <reference field="4294967294" count="1">
            <x v="2"/>
          </reference>
        </references>
      </pivotArea>
    </format>
    <format dxfId="883">
      <pivotArea outline="0" fieldPosition="0">
        <references count="1">
          <reference field="4294967294" count="1">
            <x v="3"/>
          </reference>
        </references>
      </pivotArea>
    </format>
    <format dxfId="882">
      <pivotArea outline="0" fieldPosition="0">
        <references count="1">
          <reference field="4294967294" count="1">
            <x v="4"/>
          </reference>
        </references>
      </pivotArea>
    </format>
    <format dxfId="881">
      <pivotArea outline="0" fieldPosition="0">
        <references count="1">
          <reference field="4294967294" count="1">
            <x v="5"/>
          </reference>
        </references>
      </pivotArea>
    </format>
    <format dxfId="880">
      <pivotArea outline="0" fieldPosition="0">
        <references count="1">
          <reference field="4294967294" count="1">
            <x v="6"/>
          </reference>
        </references>
      </pivotArea>
    </format>
    <format dxfId="879">
      <pivotArea field="2" type="button" dataOnly="0" labelOnly="1" outline="0" axis="axisRow" fieldPosition="0"/>
    </format>
    <format dxfId="87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7">
      <pivotArea field="2" type="button" dataOnly="0" labelOnly="1" outline="0" axis="axisRow" fieldPosition="0"/>
    </format>
    <format dxfId="87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5">
      <pivotArea field="2" type="button" dataOnly="0" labelOnly="1" outline="0" axis="axisRow" fieldPosition="0"/>
    </format>
    <format dxfId="8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1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0D53BB-D563-4E92-B71E-5A5540EAF3E5}" name="pvt_S" cacheId="2163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462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61">
        <item x="42"/>
        <item x="19"/>
        <item x="60"/>
        <item x="59"/>
        <item x="58"/>
        <item x="35"/>
        <item x="45"/>
        <item x="44"/>
        <item x="31"/>
        <item x="26"/>
        <item x="28"/>
        <item x="27"/>
        <item x="11"/>
        <item x="29"/>
        <item x="46"/>
        <item x="47"/>
        <item x="48"/>
        <item x="40"/>
        <item x="17"/>
        <item x="51"/>
        <item x="49"/>
        <item x="50"/>
        <item x="41"/>
        <item x="32"/>
        <item x="23"/>
        <item x="9"/>
        <item x="20"/>
        <item x="22"/>
        <item x="13"/>
        <item x="16"/>
        <item x="0"/>
        <item x="1"/>
        <item x="4"/>
        <item x="3"/>
        <item x="5"/>
        <item x="2"/>
        <item x="7"/>
        <item x="6"/>
        <item x="10"/>
        <item x="39"/>
        <item x="33"/>
        <item x="43"/>
        <item x="8"/>
        <item x="52"/>
        <item x="54"/>
        <item x="57"/>
        <item x="56"/>
        <item x="55"/>
        <item x="53"/>
        <item x="18"/>
        <item x="38"/>
        <item x="21"/>
        <item x="36"/>
        <item x="34"/>
        <item x="25"/>
        <item x="30"/>
        <item x="37"/>
        <item x="15"/>
        <item x="12"/>
        <item x="14"/>
        <item x="24"/>
      </items>
    </pivotField>
    <pivotField axis="axisRow" showAll="0" insertBlankRow="1" defaultSubtota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</items>
    </pivotField>
    <pivotField showAll="0" defaultSubtotal="0">
      <items count="97">
        <item x="10"/>
        <item x="17"/>
        <item x="11"/>
        <item x="19"/>
        <item x="49"/>
        <item x="28"/>
        <item x="73"/>
        <item x="61"/>
        <item x="48"/>
        <item x="27"/>
        <item x="26"/>
        <item x="8"/>
        <item x="87"/>
        <item x="9"/>
        <item x="53"/>
        <item x="41"/>
        <item x="68"/>
        <item x="85"/>
        <item x="88"/>
        <item x="89"/>
        <item x="75"/>
        <item x="81"/>
        <item x="90"/>
        <item x="55"/>
        <item x="86"/>
        <item x="91"/>
        <item x="82"/>
        <item x="69"/>
        <item x="34"/>
        <item x="78"/>
        <item x="76"/>
        <item x="77"/>
        <item x="37"/>
        <item x="70"/>
        <item x="44"/>
        <item x="83"/>
        <item x="58"/>
        <item x="36"/>
        <item x="63"/>
        <item x="30"/>
        <item x="35"/>
        <item x="80"/>
        <item x="84"/>
        <item x="43"/>
        <item x="51"/>
        <item x="39"/>
        <item x="14"/>
        <item x="12"/>
        <item x="56"/>
        <item x="71"/>
        <item x="64"/>
        <item x="22"/>
        <item x="66"/>
        <item x="40"/>
        <item x="96"/>
        <item x="54"/>
        <item x="65"/>
        <item x="7"/>
        <item x="59"/>
        <item x="67"/>
        <item x="62"/>
        <item x="25"/>
        <item x="16"/>
        <item x="1"/>
        <item x="50"/>
        <item x="15"/>
        <item x="23"/>
        <item x="74"/>
        <item x="57"/>
        <item x="31"/>
        <item x="18"/>
        <item x="46"/>
        <item x="94"/>
        <item x="42"/>
        <item x="3"/>
        <item x="95"/>
        <item x="4"/>
        <item x="45"/>
        <item x="47"/>
        <item x="79"/>
        <item x="21"/>
        <item x="2"/>
        <item x="0"/>
        <item x="24"/>
        <item x="32"/>
        <item x="52"/>
        <item x="29"/>
        <item x="6"/>
        <item x="20"/>
        <item x="5"/>
        <item x="72"/>
        <item x="33"/>
        <item x="60"/>
        <item x="92"/>
        <item x="93"/>
        <item x="13"/>
        <item x="38"/>
      </items>
    </pivotField>
    <pivotField showAll="0" defaultSubtotal="0">
      <items count="97">
        <item x="77"/>
        <item x="64"/>
        <item x="54"/>
        <item x="81"/>
        <item x="91"/>
        <item x="14"/>
        <item x="52"/>
        <item x="94"/>
        <item x="35"/>
        <item x="26"/>
        <item x="82"/>
        <item x="31"/>
        <item x="24"/>
        <item x="90"/>
        <item x="69"/>
        <item x="95"/>
        <item x="34"/>
        <item x="28"/>
        <item x="45"/>
        <item x="85"/>
        <item x="22"/>
        <item x="72"/>
        <item x="78"/>
        <item x="86"/>
        <item x="92"/>
        <item x="71"/>
        <item x="39"/>
        <item x="80"/>
        <item x="29"/>
        <item x="9"/>
        <item x="56"/>
        <item x="53"/>
        <item x="47"/>
        <item x="6"/>
        <item x="57"/>
        <item x="55"/>
        <item x="19"/>
        <item x="17"/>
        <item x="44"/>
        <item x="62"/>
        <item x="74"/>
        <item x="83"/>
        <item x="93"/>
        <item x="20"/>
        <item x="79"/>
        <item x="58"/>
        <item x="12"/>
        <item x="13"/>
        <item x="65"/>
        <item x="51"/>
        <item x="4"/>
        <item x="96"/>
        <item x="27"/>
        <item x="60"/>
        <item x="42"/>
        <item x="70"/>
        <item x="41"/>
        <item x="88"/>
        <item x="3"/>
        <item x="21"/>
        <item x="43"/>
        <item x="76"/>
        <item x="36"/>
        <item x="38"/>
        <item x="7"/>
        <item x="32"/>
        <item x="75"/>
        <item x="1"/>
        <item x="49"/>
        <item x="63"/>
        <item x="50"/>
        <item x="68"/>
        <item x="59"/>
        <item x="73"/>
        <item x="8"/>
        <item x="87"/>
        <item x="48"/>
        <item x="18"/>
        <item x="10"/>
        <item x="40"/>
        <item x="66"/>
        <item x="37"/>
        <item x="89"/>
        <item x="61"/>
        <item x="0"/>
        <item x="15"/>
        <item x="25"/>
        <item x="16"/>
        <item x="30"/>
        <item x="67"/>
        <item x="23"/>
        <item x="11"/>
        <item x="84"/>
        <item x="2"/>
        <item x="46"/>
        <item x="5"/>
        <item x="33"/>
      </items>
    </pivotField>
    <pivotField axis="axisRow" showAll="0" defaultSubtotal="0">
      <items count="97">
        <item x="10"/>
        <item x="17"/>
        <item x="11"/>
        <item x="19"/>
        <item x="49"/>
        <item x="28"/>
        <item x="73"/>
        <item x="61"/>
        <item x="48"/>
        <item x="27"/>
        <item x="26"/>
        <item x="8"/>
        <item x="87"/>
        <item x="9"/>
        <item x="53"/>
        <item x="41"/>
        <item x="68"/>
        <item x="85"/>
        <item x="88"/>
        <item x="89"/>
        <item x="75"/>
        <item x="81"/>
        <item x="90"/>
        <item x="55"/>
        <item x="86"/>
        <item x="91"/>
        <item x="82"/>
        <item x="69"/>
        <item x="34"/>
        <item x="78"/>
        <item x="76"/>
        <item x="77"/>
        <item x="37"/>
        <item x="70"/>
        <item x="44"/>
        <item x="83"/>
        <item x="58"/>
        <item x="36"/>
        <item x="63"/>
        <item x="30"/>
        <item x="35"/>
        <item x="80"/>
        <item x="84"/>
        <item x="43"/>
        <item x="51"/>
        <item x="39"/>
        <item x="14"/>
        <item x="12"/>
        <item x="56"/>
        <item x="71"/>
        <item x="64"/>
        <item x="22"/>
        <item x="66"/>
        <item x="40"/>
        <item x="96"/>
        <item x="54"/>
        <item x="65"/>
        <item x="7"/>
        <item x="59"/>
        <item x="67"/>
        <item x="62"/>
        <item x="25"/>
        <item x="16"/>
        <item x="1"/>
        <item x="50"/>
        <item x="15"/>
        <item x="23"/>
        <item x="74"/>
        <item x="57"/>
        <item x="31"/>
        <item x="18"/>
        <item x="46"/>
        <item x="94"/>
        <item x="42"/>
        <item x="3"/>
        <item x="95"/>
        <item x="4"/>
        <item x="45"/>
        <item x="47"/>
        <item x="79"/>
        <item x="21"/>
        <item x="2"/>
        <item x="0"/>
        <item x="24"/>
        <item x="32"/>
        <item x="52"/>
        <item x="29"/>
        <item x="6"/>
        <item x="20"/>
        <item x="5"/>
        <item x="72"/>
        <item x="33"/>
        <item x="60"/>
        <item x="92"/>
        <item x="93"/>
        <item x="13"/>
        <item x="38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00">
        <item x="199"/>
        <item x="198"/>
        <item x="197"/>
        <item x="196"/>
        <item x="195"/>
        <item x="194"/>
        <item x="193"/>
        <item x="176"/>
        <item x="175"/>
        <item x="174"/>
        <item x="173"/>
        <item x="190"/>
        <item x="172"/>
        <item x="103"/>
        <item x="102"/>
        <item x="104"/>
        <item x="101"/>
        <item x="100"/>
        <item x="99"/>
        <item x="98"/>
        <item x="97"/>
        <item x="96"/>
        <item x="95"/>
        <item x="137"/>
        <item x="136"/>
        <item x="83"/>
        <item x="82"/>
        <item x="81"/>
        <item x="80"/>
        <item x="73"/>
        <item x="72"/>
        <item x="71"/>
        <item x="79"/>
        <item x="70"/>
        <item x="92"/>
        <item x="69"/>
        <item x="68"/>
        <item x="67"/>
        <item x="66"/>
        <item x="143"/>
        <item x="65"/>
        <item x="78"/>
        <item x="64"/>
        <item x="77"/>
        <item x="63"/>
        <item x="62"/>
        <item x="94"/>
        <item x="61"/>
        <item x="108"/>
        <item x="91"/>
        <item x="90"/>
        <item x="142"/>
        <item x="89"/>
        <item x="135"/>
        <item x="141"/>
        <item x="88"/>
        <item x="57"/>
        <item x="134"/>
        <item x="56"/>
        <item x="185"/>
        <item x="55"/>
        <item x="54"/>
        <item x="140"/>
        <item x="87"/>
        <item x="53"/>
        <item x="86"/>
        <item x="52"/>
        <item x="164"/>
        <item x="107"/>
        <item x="192"/>
        <item x="76"/>
        <item x="184"/>
        <item x="51"/>
        <item x="163"/>
        <item x="120"/>
        <item x="60"/>
        <item x="50"/>
        <item x="183"/>
        <item x="119"/>
        <item x="189"/>
        <item x="160"/>
        <item x="159"/>
        <item x="157"/>
        <item x="106"/>
        <item x="139"/>
        <item x="188"/>
        <item x="85"/>
        <item x="171"/>
        <item x="158"/>
        <item x="156"/>
        <item x="133"/>
        <item x="170"/>
        <item x="93"/>
        <item x="75"/>
        <item x="49"/>
        <item x="118"/>
        <item x="48"/>
        <item x="155"/>
        <item x="117"/>
        <item x="59"/>
        <item x="47"/>
        <item x="46"/>
        <item x="105"/>
        <item x="154"/>
        <item x="84"/>
        <item x="45"/>
        <item x="116"/>
        <item x="153"/>
        <item x="115"/>
        <item x="132"/>
        <item x="161"/>
        <item x="187"/>
        <item x="114"/>
        <item x="44"/>
        <item x="182"/>
        <item x="43"/>
        <item x="131"/>
        <item x="181"/>
        <item x="130"/>
        <item x="129"/>
        <item x="42"/>
        <item x="186"/>
        <item x="180"/>
        <item x="162"/>
        <item x="128"/>
        <item x="58"/>
        <item x="152"/>
        <item x="169"/>
        <item x="113"/>
        <item x="179"/>
        <item x="191"/>
        <item x="168"/>
        <item x="151"/>
        <item x="74"/>
        <item x="138"/>
        <item x="167"/>
        <item x="166"/>
        <item x="39"/>
        <item x="38"/>
        <item x="178"/>
        <item x="37"/>
        <item x="112"/>
        <item x="127"/>
        <item x="150"/>
        <item x="36"/>
        <item x="41"/>
        <item x="35"/>
        <item x="34"/>
        <item x="165"/>
        <item x="33"/>
        <item x="32"/>
        <item x="111"/>
        <item x="31"/>
        <item x="30"/>
        <item x="126"/>
        <item x="149"/>
        <item x="177"/>
        <item x="29"/>
        <item x="125"/>
        <item x="124"/>
        <item x="28"/>
        <item x="148"/>
        <item x="27"/>
        <item x="147"/>
        <item x="26"/>
        <item x="146"/>
        <item x="123"/>
        <item x="25"/>
        <item x="40"/>
        <item x="24"/>
        <item x="110"/>
        <item x="23"/>
        <item x="122"/>
        <item x="145"/>
        <item x="144"/>
        <item x="121"/>
        <item x="22"/>
        <item x="109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53">
        <item x="288"/>
        <item x="258"/>
        <item x="160"/>
        <item x="249"/>
        <item x="124"/>
        <item x="309"/>
        <item x="123"/>
        <item x="122"/>
        <item x="257"/>
        <item x="121"/>
        <item x="159"/>
        <item x="298"/>
        <item x="50"/>
        <item x="97"/>
        <item x="273"/>
        <item x="49"/>
        <item x="185"/>
        <item x="135"/>
        <item x="18"/>
        <item x="17"/>
        <item x="48"/>
        <item x="96"/>
        <item x="16"/>
        <item x="70"/>
        <item x="84"/>
        <item x="134"/>
        <item x="35"/>
        <item x="34"/>
        <item x="47"/>
        <item x="15"/>
        <item x="14"/>
        <item x="120"/>
        <item x="145"/>
        <item x="46"/>
        <item x="119"/>
        <item x="62"/>
        <item x="33"/>
        <item x="118"/>
        <item x="95"/>
        <item x="13"/>
        <item x="61"/>
        <item x="12"/>
        <item x="32"/>
        <item x="83"/>
        <item x="158"/>
        <item x="60"/>
        <item x="45"/>
        <item x="82"/>
        <item x="11"/>
        <item x="31"/>
        <item x="10"/>
        <item x="173"/>
        <item x="9"/>
        <item x="69"/>
        <item x="8"/>
        <item x="94"/>
        <item x="44"/>
        <item x="68"/>
        <item x="133"/>
        <item x="144"/>
        <item x="30"/>
        <item x="29"/>
        <item x="7"/>
        <item x="93"/>
        <item x="59"/>
        <item x="184"/>
        <item x="117"/>
        <item x="111"/>
        <item x="178"/>
        <item x="58"/>
        <item x="132"/>
        <item x="166"/>
        <item x="92"/>
        <item x="28"/>
        <item x="308"/>
        <item x="165"/>
        <item x="116"/>
        <item x="199"/>
        <item x="57"/>
        <item x="27"/>
        <item x="81"/>
        <item x="26"/>
        <item x="25"/>
        <item x="80"/>
        <item x="183"/>
        <item x="205"/>
        <item x="225"/>
        <item x="56"/>
        <item x="91"/>
        <item x="157"/>
        <item x="24"/>
        <item x="143"/>
        <item x="79"/>
        <item x="256"/>
        <item x="177"/>
        <item x="352"/>
        <item x="43"/>
        <item x="150"/>
        <item x="245"/>
        <item x="104"/>
        <item x="67"/>
        <item x="78"/>
        <item x="6"/>
        <item x="208"/>
        <item x="66"/>
        <item x="55"/>
        <item x="193"/>
        <item x="217"/>
        <item x="347"/>
        <item x="172"/>
        <item x="42"/>
        <item x="255"/>
        <item x="41"/>
        <item x="176"/>
        <item x="198"/>
        <item x="171"/>
        <item x="142"/>
        <item x="115"/>
        <item x="23"/>
        <item x="54"/>
        <item x="266"/>
        <item x="236"/>
        <item x="141"/>
        <item x="77"/>
        <item x="254"/>
        <item x="207"/>
        <item x="283"/>
        <item x="110"/>
        <item x="235"/>
        <item x="164"/>
        <item x="22"/>
        <item x="76"/>
        <item x="103"/>
        <item x="301"/>
        <item x="314"/>
        <item x="192"/>
        <item x="131"/>
        <item x="230"/>
        <item x="5"/>
        <item x="327"/>
        <item x="75"/>
        <item x="267"/>
        <item x="109"/>
        <item x="253"/>
        <item x="292"/>
        <item x="272"/>
        <item x="244"/>
        <item x="90"/>
        <item x="252"/>
        <item x="182"/>
        <item x="297"/>
        <item x="40"/>
        <item x="277"/>
        <item x="291"/>
        <item x="319"/>
        <item x="271"/>
        <item x="238"/>
        <item x="4"/>
        <item x="39"/>
        <item x="191"/>
        <item x="324"/>
        <item x="102"/>
        <item x="265"/>
        <item x="89"/>
        <item x="224"/>
        <item x="130"/>
        <item x="3"/>
        <item x="321"/>
        <item x="216"/>
        <item x="204"/>
        <item x="286"/>
        <item x="296"/>
        <item x="140"/>
        <item x="74"/>
        <item x="318"/>
        <item x="170"/>
        <item x="101"/>
        <item x="38"/>
        <item x="163"/>
        <item x="149"/>
        <item x="175"/>
        <item x="73"/>
        <item x="215"/>
        <item x="129"/>
        <item x="100"/>
        <item x="169"/>
        <item x="128"/>
        <item x="197"/>
        <item x="156"/>
        <item x="264"/>
        <item x="108"/>
        <item x="290"/>
        <item x="181"/>
        <item x="223"/>
        <item x="248"/>
        <item x="203"/>
        <item x="261"/>
        <item x="282"/>
        <item x="99"/>
        <item x="162"/>
        <item x="139"/>
        <item x="127"/>
        <item x="174"/>
        <item x="351"/>
        <item x="190"/>
        <item x="270"/>
        <item x="21"/>
        <item x="114"/>
        <item x="148"/>
        <item x="107"/>
        <item x="155"/>
        <item x="212"/>
        <item x="222"/>
        <item x="251"/>
        <item x="154"/>
        <item x="153"/>
        <item x="307"/>
        <item x="65"/>
        <item x="260"/>
        <item x="98"/>
        <item x="2"/>
        <item x="341"/>
        <item x="234"/>
        <item x="138"/>
        <item x="229"/>
        <item x="317"/>
        <item x="196"/>
        <item x="295"/>
        <item x="161"/>
        <item x="53"/>
        <item x="306"/>
        <item x="180"/>
        <item x="332"/>
        <item x="88"/>
        <item x="281"/>
        <item x="269"/>
        <item x="337"/>
        <item x="202"/>
        <item x="195"/>
        <item x="189"/>
        <item x="137"/>
        <item x="247"/>
        <item x="300"/>
        <item x="233"/>
        <item x="221"/>
        <item x="303"/>
        <item x="287"/>
        <item x="342"/>
        <item x="211"/>
        <item x="87"/>
        <item x="220"/>
        <item x="147"/>
        <item x="72"/>
        <item x="188"/>
        <item x="280"/>
        <item x="346"/>
        <item x="106"/>
        <item x="243"/>
        <item x="345"/>
        <item x="276"/>
        <item x="214"/>
        <item x="37"/>
        <item x="228"/>
        <item x="1"/>
        <item x="313"/>
        <item x="350"/>
        <item x="242"/>
        <item x="187"/>
        <item x="305"/>
        <item x="285"/>
        <item x="263"/>
        <item x="340"/>
        <item x="323"/>
        <item x="331"/>
        <item x="86"/>
        <item x="126"/>
        <item x="304"/>
        <item x="336"/>
        <item x="64"/>
        <item x="210"/>
        <item x="227"/>
        <item x="344"/>
        <item x="302"/>
        <item x="232"/>
        <item x="320"/>
        <item x="20"/>
        <item x="113"/>
        <item x="284"/>
        <item x="206"/>
        <item x="339"/>
        <item x="294"/>
        <item x="201"/>
        <item x="125"/>
        <item x="52"/>
        <item x="262"/>
        <item x="279"/>
        <item x="237"/>
        <item x="152"/>
        <item x="241"/>
        <item x="71"/>
        <item x="0"/>
        <item x="151"/>
        <item x="168"/>
        <item x="186"/>
        <item x="349"/>
        <item x="330"/>
        <item x="105"/>
        <item x="338"/>
        <item x="213"/>
        <item x="19"/>
        <item x="326"/>
        <item x="275"/>
        <item x="268"/>
        <item x="226"/>
        <item x="293"/>
        <item x="312"/>
        <item x="299"/>
        <item x="259"/>
        <item x="194"/>
        <item x="146"/>
        <item x="246"/>
        <item x="240"/>
        <item x="274"/>
        <item x="289"/>
        <item x="335"/>
        <item x="218"/>
        <item x="179"/>
        <item x="316"/>
        <item x="219"/>
        <item x="322"/>
        <item x="329"/>
        <item x="136"/>
        <item x="36"/>
        <item x="311"/>
        <item x="343"/>
        <item x="334"/>
        <item x="231"/>
        <item x="315"/>
        <item x="278"/>
        <item x="167"/>
        <item x="328"/>
        <item x="209"/>
        <item x="51"/>
        <item x="333"/>
        <item x="325"/>
        <item x="250"/>
        <item x="239"/>
        <item x="200"/>
        <item x="63"/>
        <item x="85"/>
        <item x="348"/>
        <item x="310"/>
        <item x="112"/>
      </items>
    </pivotField>
    <pivotField dataField="1" showAll="0" defaultSubtotal="0">
      <items count="161">
        <item x="53"/>
        <item x="59"/>
        <item x="48"/>
        <item x="52"/>
        <item x="30"/>
        <item x="33"/>
        <item x="31"/>
        <item x="80"/>
        <item x="27"/>
        <item x="42"/>
        <item x="72"/>
        <item x="60"/>
        <item x="98"/>
        <item x="87"/>
        <item x="50"/>
        <item x="70"/>
        <item x="79"/>
        <item x="78"/>
        <item x="44"/>
        <item x="75"/>
        <item x="29"/>
        <item x="64"/>
        <item x="62"/>
        <item x="81"/>
        <item x="49"/>
        <item x="86"/>
        <item x="26"/>
        <item x="69"/>
        <item x="61"/>
        <item x="138"/>
        <item x="73"/>
        <item x="116"/>
        <item x="63"/>
        <item x="15"/>
        <item x="54"/>
        <item x="113"/>
        <item x="35"/>
        <item x="74"/>
        <item x="58"/>
        <item x="141"/>
        <item x="37"/>
        <item x="117"/>
        <item x="46"/>
        <item x="152"/>
        <item x="77"/>
        <item x="130"/>
        <item x="133"/>
        <item x="47"/>
        <item x="148"/>
        <item x="112"/>
        <item x="85"/>
        <item x="110"/>
        <item x="125"/>
        <item x="96"/>
        <item x="111"/>
        <item x="84"/>
        <item x="129"/>
        <item x="68"/>
        <item x="108"/>
        <item x="67"/>
        <item x="158"/>
        <item x="51"/>
        <item x="137"/>
        <item x="126"/>
        <item x="105"/>
        <item x="155"/>
        <item x="143"/>
        <item x="140"/>
        <item x="57"/>
        <item x="142"/>
        <item x="134"/>
        <item x="55"/>
        <item x="94"/>
        <item x="139"/>
        <item x="66"/>
        <item x="76"/>
        <item x="132"/>
        <item x="65"/>
        <item x="83"/>
        <item x="45"/>
        <item x="160"/>
        <item x="36"/>
        <item x="56"/>
        <item x="136"/>
        <item x="40"/>
        <item x="159"/>
        <item x="43"/>
        <item x="109"/>
        <item x="28"/>
        <item x="154"/>
        <item x="97"/>
        <item x="34"/>
        <item x="71"/>
        <item x="157"/>
        <item x="128"/>
        <item x="93"/>
        <item x="131"/>
        <item x="127"/>
        <item x="82"/>
        <item x="95"/>
        <item x="115"/>
        <item x="107"/>
        <item x="106"/>
        <item x="151"/>
        <item x="153"/>
        <item x="41"/>
        <item x="135"/>
        <item x="146"/>
        <item x="104"/>
        <item x="156"/>
        <item x="147"/>
        <item x="124"/>
        <item x="91"/>
        <item x="114"/>
        <item x="90"/>
        <item x="17"/>
        <item x="118"/>
        <item x="38"/>
        <item x="25"/>
        <item x="39"/>
        <item x="92"/>
        <item x="10"/>
        <item x="145"/>
        <item x="103"/>
        <item x="16"/>
        <item x="150"/>
        <item x="123"/>
        <item x="19"/>
        <item x="32"/>
        <item x="101"/>
        <item x="24"/>
        <item x="149"/>
        <item x="122"/>
        <item x="9"/>
        <item x="102"/>
        <item x="121"/>
        <item x="144"/>
        <item x="120"/>
        <item x="100"/>
        <item x="89"/>
        <item x="23"/>
        <item x="88"/>
        <item x="18"/>
        <item x="99"/>
        <item x="20"/>
        <item x="119"/>
        <item x="8"/>
        <item x="22"/>
        <item x="21"/>
        <item x="12"/>
        <item x="11"/>
        <item x="7"/>
        <item x="13"/>
        <item x="14"/>
        <item x="6"/>
        <item x="1"/>
        <item x="5"/>
        <item x="3"/>
        <item x="4"/>
        <item x="2"/>
        <item x="0"/>
      </items>
    </pivotField>
    <pivotField dataField="1" showAll="0" defaultSubtotal="0">
      <items count="547">
        <item x="57"/>
        <item x="166"/>
        <item x="310"/>
        <item x="15"/>
        <item x="32"/>
        <item x="160"/>
        <item x="35"/>
        <item x="52"/>
        <item x="65"/>
        <item x="33"/>
        <item x="92"/>
        <item x="146"/>
        <item x="208"/>
        <item x="29"/>
        <item x="56"/>
        <item x="151"/>
        <item x="389"/>
        <item x="225"/>
        <item x="111"/>
        <item x="50"/>
        <item x="217"/>
        <item x="62"/>
        <item x="82"/>
        <item x="90"/>
        <item x="167"/>
        <item x="303"/>
        <item x="140"/>
        <item x="205"/>
        <item x="161"/>
        <item x="17"/>
        <item x="423"/>
        <item x="309"/>
        <item x="10"/>
        <item x="147"/>
        <item x="16"/>
        <item x="84"/>
        <item x="209"/>
        <item x="19"/>
        <item x="236"/>
        <item x="31"/>
        <item x="407"/>
        <item x="150"/>
        <item x="251"/>
        <item x="9"/>
        <item x="366"/>
        <item x="149"/>
        <item x="431"/>
        <item x="231"/>
        <item x="118"/>
        <item x="44"/>
        <item x="87"/>
        <item x="477"/>
        <item x="91"/>
        <item x="27"/>
        <item x="287"/>
        <item x="355"/>
        <item x="137"/>
        <item x="162"/>
        <item x="18"/>
        <item x="340"/>
        <item x="74"/>
        <item x="374"/>
        <item x="204"/>
        <item x="83"/>
        <item x="362"/>
        <item x="97"/>
        <item x="288"/>
        <item x="420"/>
        <item x="28"/>
        <item x="168"/>
        <item x="239"/>
        <item x="403"/>
        <item x="429"/>
        <item x="63"/>
        <item x="8"/>
        <item x="37"/>
        <item x="376"/>
        <item x="131"/>
        <item x="54"/>
        <item x="100"/>
        <item x="240"/>
        <item x="39"/>
        <item x="535"/>
        <item x="300"/>
        <item x="107"/>
        <item x="259"/>
        <item x="248"/>
        <item x="182"/>
        <item x="190"/>
        <item x="136"/>
        <item x="295"/>
        <item x="338"/>
        <item x="432"/>
        <item x="68"/>
        <item x="187"/>
        <item x="46"/>
        <item x="422"/>
        <item x="363"/>
        <item x="385"/>
        <item x="475"/>
        <item x="250"/>
        <item x="110"/>
        <item x="370"/>
        <item x="456"/>
        <item x="177"/>
        <item x="356"/>
        <item x="133"/>
        <item x="12"/>
        <item x="415"/>
        <item x="348"/>
        <item x="497"/>
        <item x="227"/>
        <item x="101"/>
        <item x="180"/>
        <item x="135"/>
        <item x="289"/>
        <item x="377"/>
        <item x="540"/>
        <item x="113"/>
        <item x="527"/>
        <item x="179"/>
        <item x="297"/>
        <item x="93"/>
        <item x="66"/>
        <item x="53"/>
        <item x="461"/>
        <item x="328"/>
        <item x="441"/>
        <item x="280"/>
        <item x="454"/>
        <item x="85"/>
        <item x="134"/>
        <item x="269"/>
        <item x="447"/>
        <item x="11"/>
        <item x="500"/>
        <item x="365"/>
        <item x="112"/>
        <item x="114"/>
        <item x="241"/>
        <item x="392"/>
        <item x="414"/>
        <item x="326"/>
        <item x="349"/>
        <item x="203"/>
        <item x="229"/>
        <item x="270"/>
        <item x="281"/>
        <item x="466"/>
        <item x="206"/>
        <item x="228"/>
        <item x="245"/>
        <item x="417"/>
        <item x="70"/>
        <item x="130"/>
        <item x="218"/>
        <item x="440"/>
        <item x="38"/>
        <item x="305"/>
        <item x="165"/>
        <item x="129"/>
        <item x="455"/>
        <item x="213"/>
        <item x="176"/>
        <item x="546"/>
        <item x="504"/>
        <item x="375"/>
        <item x="7"/>
        <item x="457"/>
        <item x="220"/>
        <item x="13"/>
        <item x="58"/>
        <item x="86"/>
        <item x="14"/>
        <item x="30"/>
        <item x="159"/>
        <item x="439"/>
        <item x="496"/>
        <item x="399"/>
        <item x="195"/>
        <item x="99"/>
        <item x="36"/>
        <item x="181"/>
        <item x="242"/>
        <item x="262"/>
        <item x="490"/>
        <item x="483"/>
        <item x="226"/>
        <item x="296"/>
        <item x="318"/>
        <item x="390"/>
        <item x="219"/>
        <item x="249"/>
        <item x="132"/>
        <item x="408"/>
        <item x="337"/>
        <item x="260"/>
        <item x="317"/>
        <item x="505"/>
        <item x="233"/>
        <item x="148"/>
        <item x="271"/>
        <item x="279"/>
        <item x="230"/>
        <item x="193"/>
        <item x="252"/>
        <item x="175"/>
        <item x="371"/>
        <item x="306"/>
        <item x="49"/>
        <item x="188"/>
        <item x="357"/>
        <item x="339"/>
        <item x="207"/>
        <item x="427"/>
        <item x="214"/>
        <item x="307"/>
        <item x="391"/>
        <item x="450"/>
        <item x="335"/>
        <item x="534"/>
        <item x="102"/>
        <item x="438"/>
        <item x="308"/>
        <item x="73"/>
        <item x="383"/>
        <item x="153"/>
        <item x="178"/>
        <item x="145"/>
        <item x="51"/>
        <item x="294"/>
        <item x="216"/>
        <item x="69"/>
        <item x="416"/>
        <item x="174"/>
        <item x="347"/>
        <item x="406"/>
        <item x="460"/>
        <item x="192"/>
        <item x="384"/>
        <item x="520"/>
        <item x="373"/>
        <item x="468"/>
        <item x="453"/>
        <item x="128"/>
        <item x="398"/>
        <item x="437"/>
        <item x="412"/>
        <item x="319"/>
        <item x="261"/>
        <item x="95"/>
        <item x="503"/>
        <item x="467"/>
        <item x="364"/>
        <item x="346"/>
        <item x="511"/>
        <item x="119"/>
        <item x="265"/>
        <item x="545"/>
        <item x="446"/>
        <item x="537"/>
        <item x="410"/>
        <item x="329"/>
        <item x="267"/>
        <item x="194"/>
        <item x="430"/>
        <item x="495"/>
        <item x="6"/>
        <item x="71"/>
        <item x="283"/>
        <item x="448"/>
        <item x="238"/>
        <item x="485"/>
        <item x="508"/>
        <item x="268"/>
        <item x="25"/>
        <item x="164"/>
        <item x="532"/>
        <item x="452"/>
        <item x="421"/>
        <item x="67"/>
        <item x="55"/>
        <item x="361"/>
        <item x="80"/>
        <item x="163"/>
        <item x="515"/>
        <item x="121"/>
        <item x="173"/>
        <item x="215"/>
        <item x="444"/>
        <item x="509"/>
        <item x="127"/>
        <item x="436"/>
        <item x="191"/>
        <item x="465"/>
        <item x="327"/>
        <item x="108"/>
        <item x="258"/>
        <item x="411"/>
        <item x="479"/>
        <item x="445"/>
        <item x="372"/>
        <item x="144"/>
        <item x="1"/>
        <item x="472"/>
        <item x="336"/>
        <item x="109"/>
        <item x="528"/>
        <item x="72"/>
        <item x="126"/>
        <item x="256"/>
        <item x="400"/>
        <item x="158"/>
        <item x="96"/>
        <item x="117"/>
        <item x="404"/>
        <item x="34"/>
        <item x="334"/>
        <item x="266"/>
        <item x="315"/>
        <item x="487"/>
        <item x="464"/>
        <item x="189"/>
        <item x="24"/>
        <item x="202"/>
        <item x="471"/>
        <item x="79"/>
        <item x="413"/>
        <item x="543"/>
        <item x="451"/>
        <item x="212"/>
        <item x="494"/>
        <item x="125"/>
        <item x="428"/>
        <item x="293"/>
        <item x="397"/>
        <item x="26"/>
        <item x="278"/>
        <item x="502"/>
        <item x="237"/>
        <item x="489"/>
        <item x="523"/>
        <item x="257"/>
        <item x="224"/>
        <item x="304"/>
        <item x="5"/>
        <item x="48"/>
        <item x="81"/>
        <item x="64"/>
        <item x="196"/>
        <item x="186"/>
        <item x="443"/>
        <item x="3"/>
        <item x="405"/>
        <item x="478"/>
        <item x="482"/>
        <item x="381"/>
        <item x="394"/>
        <item x="544"/>
        <item x="42"/>
        <item x="316"/>
        <item x="98"/>
        <item x="277"/>
        <item x="369"/>
        <item x="533"/>
        <item x="45"/>
        <item x="345"/>
        <item x="418"/>
        <item x="325"/>
        <item x="142"/>
        <item x="170"/>
        <item x="488"/>
        <item x="234"/>
        <item x="526"/>
        <item x="47"/>
        <item x="235"/>
        <item x="474"/>
        <item x="157"/>
        <item x="286"/>
        <item x="292"/>
        <item x="425"/>
        <item x="324"/>
        <item x="264"/>
        <item x="276"/>
        <item x="313"/>
        <item x="247"/>
        <item x="172"/>
        <item x="141"/>
        <item x="4"/>
        <item x="542"/>
        <item x="23"/>
        <item x="314"/>
        <item x="201"/>
        <item x="501"/>
        <item x="519"/>
        <item x="387"/>
        <item x="344"/>
        <item x="94"/>
        <item x="323"/>
        <item x="246"/>
        <item x="312"/>
        <item x="353"/>
        <item x="171"/>
        <item x="332"/>
        <item x="124"/>
        <item x="513"/>
        <item x="263"/>
        <item x="435"/>
        <item x="143"/>
        <item x="155"/>
        <item x="343"/>
        <item x="354"/>
        <item x="402"/>
        <item x="360"/>
        <item x="291"/>
        <item x="301"/>
        <item x="342"/>
        <item x="499"/>
        <item x="426"/>
        <item x="200"/>
        <item x="285"/>
        <item x="388"/>
        <item x="539"/>
        <item x="470"/>
        <item x="463"/>
        <item x="105"/>
        <item x="484"/>
        <item x="449"/>
        <item x="382"/>
        <item x="20"/>
        <item x="302"/>
        <item x="284"/>
        <item x="156"/>
        <item x="541"/>
        <item x="531"/>
        <item x="43"/>
        <item x="433"/>
        <item x="507"/>
        <item x="486"/>
        <item x="185"/>
        <item x="333"/>
        <item x="199"/>
        <item x="120"/>
        <item x="396"/>
        <item x="434"/>
        <item x="2"/>
        <item x="380"/>
        <item x="106"/>
        <item x="275"/>
        <item x="493"/>
        <item x="198"/>
        <item x="536"/>
        <item x="459"/>
        <item x="321"/>
        <item x="352"/>
        <item x="368"/>
        <item x="78"/>
        <item x="154"/>
        <item x="272"/>
        <item x="331"/>
        <item x="255"/>
        <item x="395"/>
        <item x="123"/>
        <item x="492"/>
        <item x="341"/>
        <item x="530"/>
        <item x="77"/>
        <item x="379"/>
        <item x="518"/>
        <item x="244"/>
        <item x="274"/>
        <item x="525"/>
        <item x="419"/>
        <item x="223"/>
        <item x="211"/>
        <item x="254"/>
        <item x="476"/>
        <item x="322"/>
        <item x="514"/>
        <item x="210"/>
        <item x="522"/>
        <item x="351"/>
        <item x="184"/>
        <item x="22"/>
        <item x="61"/>
        <item x="458"/>
        <item x="122"/>
        <item x="59"/>
        <item x="409"/>
        <item x="40"/>
        <item x="222"/>
        <item x="462"/>
        <item x="521"/>
        <item x="480"/>
        <item x="41"/>
        <item x="517"/>
        <item x="253"/>
        <item x="524"/>
        <item x="290"/>
        <item x="359"/>
        <item x="367"/>
        <item x="378"/>
        <item x="169"/>
        <item x="506"/>
        <item x="350"/>
        <item x="273"/>
        <item x="282"/>
        <item x="139"/>
        <item x="0"/>
        <item x="104"/>
        <item x="473"/>
        <item x="76"/>
        <item x="469"/>
        <item x="152"/>
        <item x="197"/>
        <item x="330"/>
        <item x="481"/>
        <item x="442"/>
        <item x="138"/>
        <item x="401"/>
        <item x="498"/>
        <item x="299"/>
        <item x="529"/>
        <item x="221"/>
        <item x="538"/>
        <item x="491"/>
        <item x="510"/>
        <item x="75"/>
        <item x="60"/>
        <item x="516"/>
        <item x="512"/>
        <item x="320"/>
        <item x="21"/>
        <item x="232"/>
        <item x="243"/>
        <item x="183"/>
        <item x="424"/>
        <item x="89"/>
        <item x="393"/>
        <item x="298"/>
        <item x="116"/>
        <item x="311"/>
        <item x="115"/>
        <item x="386"/>
        <item x="358"/>
        <item x="88"/>
        <item x="103"/>
      </items>
    </pivotField>
    <pivotField dataField="1" showAll="0" defaultSubtotal="0">
      <items count="146">
        <item x="132"/>
        <item x="90"/>
        <item x="54"/>
        <item x="69"/>
        <item x="65"/>
        <item x="74"/>
        <item x="120"/>
        <item x="117"/>
        <item x="61"/>
        <item x="82"/>
        <item x="42"/>
        <item x="68"/>
        <item x="46"/>
        <item x="73"/>
        <item x="33"/>
        <item x="78"/>
        <item x="121"/>
        <item x="66"/>
        <item x="76"/>
        <item x="47"/>
        <item x="89"/>
        <item x="88"/>
        <item x="84"/>
        <item x="72"/>
        <item x="58"/>
        <item x="44"/>
        <item x="79"/>
        <item x="50"/>
        <item x="104"/>
        <item x="123"/>
        <item x="86"/>
        <item x="70"/>
        <item x="64"/>
        <item x="63"/>
        <item x="87"/>
        <item x="77"/>
        <item x="85"/>
        <item x="67"/>
        <item x="83"/>
        <item x="119"/>
        <item x="134"/>
        <item x="40"/>
        <item x="53"/>
        <item x="62"/>
        <item x="52"/>
        <item x="75"/>
        <item x="131"/>
        <item x="60"/>
        <item x="116"/>
        <item x="94"/>
        <item x="25"/>
        <item x="118"/>
        <item x="22"/>
        <item x="81"/>
        <item x="41"/>
        <item x="48"/>
        <item x="144"/>
        <item x="56"/>
        <item x="57"/>
        <item x="105"/>
        <item x="55"/>
        <item x="106"/>
        <item x="80"/>
        <item x="95"/>
        <item x="113"/>
        <item x="23"/>
        <item x="51"/>
        <item x="99"/>
        <item x="97"/>
        <item x="92"/>
        <item x="101"/>
        <item x="100"/>
        <item x="49"/>
        <item x="107"/>
        <item x="139"/>
        <item x="98"/>
        <item x="59"/>
        <item x="71"/>
        <item x="130"/>
        <item x="109"/>
        <item x="140"/>
        <item x="45"/>
        <item x="138"/>
        <item x="102"/>
        <item x="127"/>
        <item x="143"/>
        <item x="133"/>
        <item x="129"/>
        <item x="96"/>
        <item x="128"/>
        <item x="37"/>
        <item x="35"/>
        <item x="126"/>
        <item x="24"/>
        <item x="112"/>
        <item x="114"/>
        <item x="115"/>
        <item x="43"/>
        <item x="142"/>
        <item x="137"/>
        <item x="111"/>
        <item x="21"/>
        <item x="39"/>
        <item x="110"/>
        <item x="29"/>
        <item x="145"/>
        <item x="141"/>
        <item x="38"/>
        <item x="125"/>
        <item x="136"/>
        <item x="124"/>
        <item x="36"/>
        <item x="135"/>
        <item x="108"/>
        <item x="34"/>
        <item x="32"/>
        <item x="31"/>
        <item x="30"/>
        <item x="93"/>
        <item x="27"/>
        <item x="26"/>
        <item x="122"/>
        <item x="28"/>
        <item x="4"/>
        <item x="103"/>
        <item x="2"/>
        <item x="91"/>
        <item x="20"/>
        <item x="5"/>
        <item x="14"/>
        <item x="13"/>
        <item x="3"/>
        <item x="6"/>
        <item x="0"/>
        <item x="7"/>
        <item x="11"/>
        <item x="12"/>
        <item x="18"/>
        <item x="19"/>
        <item x="17"/>
        <item x="16"/>
        <item x="8"/>
        <item x="15"/>
        <item x="9"/>
        <item x="10"/>
        <item x="1"/>
      </items>
    </pivotField>
    <pivotField dataField="1" showAll="0" defaultSubtotal="0">
      <items count="384">
        <item x="188"/>
        <item x="155"/>
        <item x="49"/>
        <item x="307"/>
        <item x="117"/>
        <item x="76"/>
        <item x="31"/>
        <item x="143"/>
        <item x="172"/>
        <item x="127"/>
        <item x="247"/>
        <item x="67"/>
        <item x="285"/>
        <item x="303"/>
        <item x="101"/>
        <item x="170"/>
        <item x="125"/>
        <item x="63"/>
        <item x="212"/>
        <item x="39"/>
        <item x="81"/>
        <item x="72"/>
        <item x="192"/>
        <item x="237"/>
        <item x="43"/>
        <item x="203"/>
        <item x="113"/>
        <item x="253"/>
        <item x="176"/>
        <item x="287"/>
        <item x="4"/>
        <item x="231"/>
        <item x="148"/>
        <item x="191"/>
        <item x="181"/>
        <item x="2"/>
        <item x="115"/>
        <item x="311"/>
        <item x="246"/>
        <item x="24"/>
        <item x="174"/>
        <item x="21"/>
        <item x="58"/>
        <item x="86"/>
        <item x="248"/>
        <item x="44"/>
        <item x="134"/>
        <item x="160"/>
        <item x="100"/>
        <item x="182"/>
        <item x="141"/>
        <item x="337"/>
        <item x="258"/>
        <item x="359"/>
        <item x="22"/>
        <item x="93"/>
        <item x="55"/>
        <item x="255"/>
        <item x="5"/>
        <item x="334"/>
        <item x="52"/>
        <item x="193"/>
        <item x="66"/>
        <item x="41"/>
        <item x="207"/>
        <item x="111"/>
        <item x="241"/>
        <item x="331"/>
        <item x="198"/>
        <item x="269"/>
        <item x="46"/>
        <item x="201"/>
        <item x="156"/>
        <item x="259"/>
        <item x="142"/>
        <item x="245"/>
        <item x="71"/>
        <item x="153"/>
        <item x="301"/>
        <item x="323"/>
        <item x="80"/>
        <item x="292"/>
        <item x="282"/>
        <item x="61"/>
        <item x="190"/>
        <item x="161"/>
        <item x="177"/>
        <item x="13"/>
        <item x="273"/>
        <item x="77"/>
        <item x="214"/>
        <item x="289"/>
        <item x="12"/>
        <item x="33"/>
        <item x="133"/>
        <item x="104"/>
        <item x="124"/>
        <item x="135"/>
        <item x="147"/>
        <item x="3"/>
        <item x="23"/>
        <item x="229"/>
        <item x="64"/>
        <item x="106"/>
        <item x="162"/>
        <item x="279"/>
        <item x="250"/>
        <item x="95"/>
        <item x="200"/>
        <item x="222"/>
        <item x="74"/>
        <item x="37"/>
        <item x="0"/>
        <item x="194"/>
        <item x="48"/>
        <item x="240"/>
        <item x="92"/>
        <item x="54"/>
        <item x="230"/>
        <item x="249"/>
        <item x="159"/>
        <item x="47"/>
        <item x="209"/>
        <item x="20"/>
        <item x="112"/>
        <item x="321"/>
        <item x="165"/>
        <item x="381"/>
        <item x="144"/>
        <item x="126"/>
        <item x="6"/>
        <item x="28"/>
        <item x="186"/>
        <item x="96"/>
        <item x="149"/>
        <item x="291"/>
        <item x="202"/>
        <item x="219"/>
        <item x="35"/>
        <item x="10"/>
        <item x="243"/>
        <item x="129"/>
        <item x="223"/>
        <item x="87"/>
        <item x="122"/>
        <item x="103"/>
        <item x="34"/>
        <item x="180"/>
        <item x="196"/>
        <item x="131"/>
        <item x="272"/>
        <item x="11"/>
        <item x="38"/>
        <item x="189"/>
        <item x="17"/>
        <item x="45"/>
        <item x="293"/>
        <item x="102"/>
        <item x="119"/>
        <item x="146"/>
        <item x="78"/>
        <item x="281"/>
        <item x="50"/>
        <item x="171"/>
        <item x="51"/>
        <item x="130"/>
        <item x="197"/>
        <item x="79"/>
        <item x="157"/>
        <item x="239"/>
        <item x="98"/>
        <item x="18"/>
        <item x="195"/>
        <item x="242"/>
        <item x="68"/>
        <item x="114"/>
        <item x="140"/>
        <item x="167"/>
        <item x="256"/>
        <item x="280"/>
        <item x="205"/>
        <item x="264"/>
        <item x="16"/>
        <item x="228"/>
        <item x="109"/>
        <item x="128"/>
        <item x="251"/>
        <item x="169"/>
        <item x="179"/>
        <item x="15"/>
        <item x="145"/>
        <item x="342"/>
        <item x="139"/>
        <item x="110"/>
        <item x="116"/>
        <item x="168"/>
        <item x="32"/>
        <item x="363"/>
        <item x="91"/>
        <item x="206"/>
        <item x="299"/>
        <item x="69"/>
        <item x="7"/>
        <item x="314"/>
        <item x="90"/>
        <item x="30"/>
        <item x="29"/>
        <item x="62"/>
        <item x="263"/>
        <item x="89"/>
        <item x="217"/>
        <item x="270"/>
        <item x="14"/>
        <item x="166"/>
        <item x="60"/>
        <item x="305"/>
        <item x="26"/>
        <item x="208"/>
        <item x="262"/>
        <item x="8"/>
        <item x="138"/>
        <item x="88"/>
        <item x="154"/>
        <item x="187"/>
        <item x="9"/>
        <item x="373"/>
        <item x="306"/>
        <item x="25"/>
        <item x="267"/>
        <item x="94"/>
        <item x="120"/>
        <item x="276"/>
        <item x="137"/>
        <item x="309"/>
        <item x="27"/>
        <item x="319"/>
        <item x="257"/>
        <item x="290"/>
        <item x="215"/>
        <item x="346"/>
        <item x="65"/>
        <item x="316"/>
        <item x="85"/>
        <item x="204"/>
        <item x="330"/>
        <item x="108"/>
        <item x="178"/>
        <item x="361"/>
        <item x="220"/>
        <item x="42"/>
        <item x="294"/>
        <item x="151"/>
        <item x="175"/>
        <item x="315"/>
        <item x="326"/>
        <item x="152"/>
        <item x="99"/>
        <item x="118"/>
        <item x="57"/>
        <item x="75"/>
        <item x="365"/>
        <item x="275"/>
        <item x="150"/>
        <item x="318"/>
        <item x="261"/>
        <item x="352"/>
        <item x="211"/>
        <item x="225"/>
        <item x="227"/>
        <item x="59"/>
        <item x="302"/>
        <item x="308"/>
        <item x="268"/>
        <item x="254"/>
        <item x="313"/>
        <item x="164"/>
        <item x="232"/>
        <item x="224"/>
        <item x="73"/>
        <item x="278"/>
        <item x="163"/>
        <item x="288"/>
        <item x="336"/>
        <item x="343"/>
        <item x="260"/>
        <item x="173"/>
        <item x="304"/>
        <item x="84"/>
        <item x="56"/>
        <item x="327"/>
        <item x="338"/>
        <item x="333"/>
        <item x="83"/>
        <item x="185"/>
        <item x="312"/>
        <item x="107"/>
        <item x="210"/>
        <item x="286"/>
        <item x="238"/>
        <item x="383"/>
        <item x="218"/>
        <item x="226"/>
        <item x="136"/>
        <item x="317"/>
        <item x="382"/>
        <item x="351"/>
        <item x="234"/>
        <item x="357"/>
        <item x="40"/>
        <item x="376"/>
        <item x="310"/>
        <item x="368"/>
        <item x="184"/>
        <item x="105"/>
        <item x="97"/>
        <item x="300"/>
        <item x="271"/>
        <item x="320"/>
        <item x="298"/>
        <item x="183"/>
        <item x="199"/>
        <item x="345"/>
        <item x="297"/>
        <item x="82"/>
        <item x="328"/>
        <item x="322"/>
        <item x="360"/>
        <item x="36"/>
        <item x="340"/>
        <item x="349"/>
        <item x="284"/>
        <item x="236"/>
        <item x="213"/>
        <item x="379"/>
        <item x="364"/>
        <item x="1"/>
        <item x="244"/>
        <item x="296"/>
        <item x="266"/>
        <item x="19"/>
        <item x="274"/>
        <item x="329"/>
        <item x="354"/>
        <item x="341"/>
        <item x="348"/>
        <item x="325"/>
        <item x="371"/>
        <item x="355"/>
        <item x="335"/>
        <item x="235"/>
        <item x="377"/>
        <item x="283"/>
        <item x="216"/>
        <item x="233"/>
        <item x="123"/>
        <item x="380"/>
        <item x="158"/>
        <item x="366"/>
        <item x="344"/>
        <item x="132"/>
        <item x="295"/>
        <item x="339"/>
        <item x="358"/>
        <item x="367"/>
        <item x="53"/>
        <item x="353"/>
        <item x="372"/>
        <item x="70"/>
        <item x="374"/>
        <item x="356"/>
        <item x="265"/>
        <item x="362"/>
        <item x="252"/>
        <item x="332"/>
        <item x="378"/>
        <item x="375"/>
        <item x="221"/>
        <item x="350"/>
        <item x="324"/>
        <item x="277"/>
        <item x="121"/>
        <item x="347"/>
        <item x="369"/>
        <item x="370"/>
      </items>
    </pivotField>
    <pivotField dataField="1" showAll="0" defaultSubtotal="0">
      <items count="6">
        <item x="2"/>
        <item x="0"/>
        <item x="1"/>
        <item x="5"/>
        <item x="3"/>
        <item x="4"/>
      </items>
    </pivotField>
  </pivotFields>
  <rowFields count="3">
    <field x="2"/>
    <field x="6"/>
    <field x="5"/>
  </rowFields>
  <rowItems count="1461">
    <i>
      <x/>
    </i>
    <i r="1">
      <x/>
      <x v="82"/>
    </i>
    <i r="1">
      <x v="1"/>
      <x v="63"/>
    </i>
    <i r="1">
      <x v="2"/>
      <x v="81"/>
    </i>
    <i r="1">
      <x v="3"/>
      <x v="74"/>
    </i>
    <i r="1">
      <x v="4"/>
      <x v="76"/>
    </i>
    <i r="1">
      <x v="5"/>
      <x v="89"/>
    </i>
    <i r="1">
      <x v="6"/>
      <x v="87"/>
    </i>
    <i r="1">
      <x v="7"/>
      <x v="57"/>
    </i>
    <i r="1">
      <x v="8"/>
      <x v="11"/>
    </i>
    <i r="1">
      <x v="9"/>
      <x v="13"/>
    </i>
    <i r="1">
      <x v="10"/>
      <x/>
    </i>
    <i r="1">
      <x v="11"/>
      <x v="2"/>
    </i>
    <i r="1">
      <x v="12"/>
      <x v="47"/>
    </i>
    <i r="1">
      <x v="13"/>
      <x v="95"/>
    </i>
    <i r="1">
      <x v="14"/>
      <x v="46"/>
    </i>
    <i r="1">
      <x v="15"/>
      <x v="65"/>
    </i>
    <i r="1">
      <x v="16"/>
      <x v="62"/>
    </i>
    <i r="1">
      <x v="17"/>
      <x v="1"/>
    </i>
    <i r="1">
      <x v="18"/>
      <x v="70"/>
    </i>
    <i r="1">
      <x v="19"/>
      <x v="3"/>
    </i>
    <i t="blank">
      <x/>
    </i>
    <i>
      <x v="1"/>
    </i>
    <i r="1">
      <x/>
      <x v="63"/>
    </i>
    <i r="1">
      <x v="1"/>
      <x v="82"/>
    </i>
    <i r="1">
      <x v="2"/>
      <x v="81"/>
    </i>
    <i r="1">
      <x v="3"/>
      <x v="89"/>
    </i>
    <i r="1">
      <x v="4"/>
      <x v="74"/>
    </i>
    <i r="1">
      <x v="5"/>
      <x v="87"/>
    </i>
    <i r="1">
      <x v="6"/>
      <x v="76"/>
    </i>
    <i r="1">
      <x v="7"/>
      <x v="70"/>
    </i>
    <i r="1">
      <x v="8"/>
      <x v="62"/>
    </i>
    <i r="1">
      <x v="9"/>
      <x v="13"/>
    </i>
    <i r="1">
      <x v="10"/>
      <x v="57"/>
    </i>
    <i r="1">
      <x v="11"/>
      <x v="11"/>
    </i>
    <i r="1">
      <x v="12"/>
      <x v="65"/>
    </i>
    <i r="1">
      <x v="13"/>
      <x v="3"/>
    </i>
    <i r="1">
      <x v="14"/>
      <x v="88"/>
    </i>
    <i r="1">
      <x v="15"/>
      <x/>
    </i>
    <i r="1">
      <x v="16"/>
      <x v="80"/>
    </i>
    <i r="1">
      <x v="17"/>
      <x v="47"/>
    </i>
    <i r="1">
      <x v="18"/>
      <x v="46"/>
    </i>
    <i r="1">
      <x v="19"/>
      <x v="51"/>
    </i>
    <i t="blank">
      <x v="1"/>
    </i>
    <i>
      <x v="2"/>
    </i>
    <i r="1">
      <x/>
      <x v="63"/>
    </i>
    <i r="1">
      <x v="1"/>
      <x v="82"/>
    </i>
    <i r="1">
      <x v="2"/>
      <x v="74"/>
    </i>
    <i r="1">
      <x v="3"/>
      <x v="81"/>
    </i>
    <i r="1">
      <x v="4"/>
      <x v="70"/>
    </i>
    <i r="1">
      <x v="5"/>
      <x v="76"/>
    </i>
    <i r="1">
      <x v="6"/>
      <x v="62"/>
    </i>
    <i r="1">
      <x v="7"/>
      <x v="66"/>
    </i>
    <i r="1">
      <x v="8"/>
      <x v="89"/>
    </i>
    <i r="1">
      <x v="9"/>
      <x v="57"/>
    </i>
    <i r="1">
      <x v="10"/>
      <x v="65"/>
    </i>
    <i r="1">
      <x v="11"/>
      <x v="87"/>
    </i>
    <i r="1">
      <x v="12"/>
      <x/>
    </i>
    <i r="2">
      <x v="83"/>
    </i>
    <i r="1">
      <x v="14"/>
      <x v="46"/>
    </i>
    <i r="2">
      <x v="51"/>
    </i>
    <i r="1">
      <x v="16"/>
      <x v="88"/>
    </i>
    <i r="1">
      <x v="17"/>
      <x v="13"/>
    </i>
    <i r="1">
      <x v="18"/>
      <x v="11"/>
    </i>
    <i r="1">
      <x v="19"/>
      <x v="61"/>
    </i>
    <i r="2">
      <x v="80"/>
    </i>
    <i t="blank">
      <x v="2"/>
    </i>
    <i>
      <x v="3"/>
    </i>
    <i r="1">
      <x/>
      <x v="63"/>
    </i>
    <i r="1">
      <x v="1"/>
      <x v="82"/>
    </i>
    <i r="1">
      <x v="2"/>
      <x v="81"/>
    </i>
    <i r="1">
      <x v="3"/>
      <x v="13"/>
    </i>
    <i r="1">
      <x v="4"/>
      <x v="47"/>
    </i>
    <i r="1">
      <x v="5"/>
      <x v="89"/>
    </i>
    <i r="1">
      <x v="6"/>
      <x v="3"/>
    </i>
    <i r="2">
      <x v="62"/>
    </i>
    <i r="1">
      <x v="8"/>
      <x v="87"/>
    </i>
    <i r="1">
      <x v="9"/>
      <x v="11"/>
    </i>
    <i r="2">
      <x v="88"/>
    </i>
    <i r="1">
      <x v="11"/>
      <x v="80"/>
    </i>
    <i r="1">
      <x v="12"/>
      <x v="1"/>
    </i>
    <i r="2">
      <x v="95"/>
    </i>
    <i r="1">
      <x v="14"/>
      <x v="74"/>
    </i>
    <i r="1">
      <x v="15"/>
      <x v="76"/>
    </i>
    <i r="1">
      <x v="16"/>
      <x v="46"/>
    </i>
    <i r="1">
      <x v="17"/>
      <x v="10"/>
    </i>
    <i r="1">
      <x v="18"/>
      <x v="61"/>
    </i>
    <i r="2">
      <x v="65"/>
    </i>
    <i t="blank">
      <x v="3"/>
    </i>
    <i>
      <x v="4"/>
    </i>
    <i r="1">
      <x/>
      <x v="63"/>
    </i>
    <i r="1">
      <x v="1"/>
      <x v="82"/>
    </i>
    <i r="1">
      <x v="2"/>
      <x v="89"/>
    </i>
    <i r="1">
      <x v="3"/>
      <x v="81"/>
    </i>
    <i r="1">
      <x v="4"/>
      <x v="65"/>
    </i>
    <i r="2">
      <x v="74"/>
    </i>
    <i r="2">
      <x v="87"/>
    </i>
    <i r="1">
      <x v="7"/>
      <x v="76"/>
    </i>
    <i r="1">
      <x v="8"/>
      <x v="13"/>
    </i>
    <i r="1">
      <x v="9"/>
      <x v="70"/>
    </i>
    <i r="1">
      <x v="10"/>
      <x v="88"/>
    </i>
    <i r="1">
      <x v="11"/>
      <x v="62"/>
    </i>
    <i r="1">
      <x v="12"/>
      <x v="57"/>
    </i>
    <i r="2">
      <x v="80"/>
    </i>
    <i r="1">
      <x v="14"/>
      <x v="47"/>
    </i>
    <i r="2">
      <x v="51"/>
    </i>
    <i r="2">
      <x v="61"/>
    </i>
    <i r="1">
      <x v="17"/>
      <x v="3"/>
    </i>
    <i r="1">
      <x v="18"/>
      <x/>
    </i>
    <i r="2">
      <x v="46"/>
    </i>
    <i t="blank">
      <x v="4"/>
    </i>
    <i>
      <x v="5"/>
    </i>
    <i r="1">
      <x/>
      <x v="82"/>
    </i>
    <i r="1">
      <x v="1"/>
      <x v="81"/>
    </i>
    <i r="1">
      <x v="2"/>
      <x v="13"/>
    </i>
    <i r="1">
      <x v="3"/>
      <x v="11"/>
    </i>
    <i r="1">
      <x v="4"/>
      <x v="63"/>
    </i>
    <i r="1">
      <x v="5"/>
      <x/>
    </i>
    <i r="2">
      <x v="3"/>
    </i>
    <i r="1">
      <x v="7"/>
      <x v="47"/>
    </i>
    <i r="1">
      <x v="8"/>
      <x v="76"/>
    </i>
    <i r="1">
      <x v="9"/>
      <x v="95"/>
    </i>
    <i r="1">
      <x v="10"/>
      <x v="74"/>
    </i>
    <i r="1">
      <x v="11"/>
      <x v="10"/>
    </i>
    <i r="1">
      <x v="12"/>
      <x v="89"/>
    </i>
    <i r="1">
      <x v="13"/>
      <x v="57"/>
    </i>
    <i r="1">
      <x v="14"/>
      <x v="1"/>
    </i>
    <i r="2">
      <x v="9"/>
    </i>
    <i r="1">
      <x v="16"/>
      <x v="62"/>
    </i>
    <i r="1">
      <x v="17"/>
      <x v="5"/>
    </i>
    <i r="1">
      <x v="18"/>
      <x v="80"/>
    </i>
    <i r="2">
      <x v="87"/>
    </i>
    <i t="blank">
      <x v="5"/>
    </i>
    <i>
      <x v="6"/>
    </i>
    <i r="1">
      <x/>
      <x v="82"/>
    </i>
    <i r="1">
      <x v="1"/>
      <x v="81"/>
    </i>
    <i r="1">
      <x v="2"/>
      <x v="87"/>
    </i>
    <i r="1">
      <x v="3"/>
      <x v="89"/>
    </i>
    <i r="1">
      <x v="4"/>
      <x v="63"/>
    </i>
    <i r="1">
      <x v="5"/>
      <x v="86"/>
    </i>
    <i r="1">
      <x v="6"/>
      <x v="11"/>
    </i>
    <i r="1">
      <x v="7"/>
      <x/>
    </i>
    <i r="1">
      <x v="8"/>
      <x v="2"/>
    </i>
    <i r="1">
      <x v="9"/>
      <x v="46"/>
    </i>
    <i r="2">
      <x v="74"/>
    </i>
    <i r="1">
      <x v="11"/>
      <x v="3"/>
    </i>
    <i r="2">
      <x v="88"/>
    </i>
    <i r="1">
      <x v="13"/>
      <x v="51"/>
    </i>
    <i r="2">
      <x v="62"/>
    </i>
    <i r="1">
      <x v="15"/>
      <x v="13"/>
    </i>
    <i r="2">
      <x v="65"/>
    </i>
    <i r="1">
      <x v="17"/>
      <x v="39"/>
    </i>
    <i r="2">
      <x v="95"/>
    </i>
    <i r="1">
      <x v="19"/>
      <x v="69"/>
    </i>
    <i r="2">
      <x v="83"/>
    </i>
    <i r="2">
      <x v="84"/>
    </i>
    <i r="2">
      <x v="91"/>
    </i>
    <i t="blank">
      <x v="6"/>
    </i>
    <i>
      <x v="7"/>
    </i>
    <i r="1">
      <x/>
      <x v="39"/>
    </i>
    <i r="1">
      <x v="1"/>
      <x v="82"/>
    </i>
    <i r="1">
      <x v="2"/>
      <x v="81"/>
    </i>
    <i r="1">
      <x v="3"/>
      <x v="63"/>
    </i>
    <i r="1">
      <x v="4"/>
      <x v="87"/>
    </i>
    <i r="1">
      <x v="5"/>
      <x v="28"/>
    </i>
    <i r="2">
      <x v="70"/>
    </i>
    <i r="2">
      <x v="80"/>
    </i>
    <i r="1">
      <x v="8"/>
      <x v="57"/>
    </i>
    <i r="1">
      <x v="9"/>
      <x v="40"/>
    </i>
    <i r="2">
      <x v="51"/>
    </i>
    <i r="2">
      <x v="89"/>
    </i>
    <i r="1">
      <x v="12"/>
      <x v="69"/>
    </i>
    <i r="2">
      <x v="74"/>
    </i>
    <i r="2">
      <x v="88"/>
    </i>
    <i r="1">
      <x v="15"/>
      <x v="37"/>
    </i>
    <i r="2">
      <x v="86"/>
    </i>
    <i r="1">
      <x v="17"/>
      <x v="32"/>
    </i>
    <i r="1">
      <x v="18"/>
      <x v="62"/>
    </i>
    <i r="2">
      <x v="96"/>
    </i>
    <i t="blank">
      <x v="7"/>
    </i>
    <i>
      <x v="8"/>
    </i>
    <i r="1">
      <x/>
      <x v="82"/>
    </i>
    <i r="1">
      <x v="1"/>
      <x v="81"/>
    </i>
    <i r="1">
      <x v="2"/>
      <x v="74"/>
    </i>
    <i r="1">
      <x v="3"/>
      <x v="63"/>
    </i>
    <i r="1">
      <x v="4"/>
      <x v="57"/>
    </i>
    <i r="1">
      <x v="5"/>
      <x v="76"/>
    </i>
    <i r="1">
      <x v="6"/>
      <x v="46"/>
    </i>
    <i r="1">
      <x v="7"/>
      <x v="95"/>
    </i>
    <i r="1">
      <x v="8"/>
      <x v="89"/>
    </i>
    <i r="1">
      <x v="9"/>
      <x v="2"/>
    </i>
    <i r="1">
      <x v="10"/>
      <x v="45"/>
    </i>
    <i r="2">
      <x v="53"/>
    </i>
    <i r="1">
      <x v="12"/>
      <x v="32"/>
    </i>
    <i r="1">
      <x v="13"/>
      <x v="15"/>
    </i>
    <i r="2">
      <x v="73"/>
    </i>
    <i r="1">
      <x v="15"/>
      <x v="39"/>
    </i>
    <i r="2">
      <x v="43"/>
    </i>
    <i r="2">
      <x v="51"/>
    </i>
    <i r="1">
      <x v="18"/>
      <x v="87"/>
    </i>
    <i r="1">
      <x v="19"/>
      <x v="11"/>
    </i>
    <i r="2">
      <x v="34"/>
    </i>
    <i r="2">
      <x v="62"/>
    </i>
    <i t="blank">
      <x v="8"/>
    </i>
    <i>
      <x v="9"/>
    </i>
    <i r="1">
      <x/>
      <x v="63"/>
    </i>
    <i r="1">
      <x v="1"/>
      <x v="82"/>
    </i>
    <i r="1">
      <x v="2"/>
      <x v="65"/>
    </i>
    <i r="1">
      <x v="3"/>
      <x v="89"/>
    </i>
    <i r="1">
      <x v="4"/>
      <x v="74"/>
    </i>
    <i r="1">
      <x v="5"/>
      <x v="81"/>
    </i>
    <i r="1">
      <x v="6"/>
      <x v="87"/>
    </i>
    <i r="1">
      <x v="7"/>
      <x v="57"/>
    </i>
    <i r="1">
      <x v="8"/>
      <x v="76"/>
    </i>
    <i r="1">
      <x v="9"/>
      <x v="80"/>
    </i>
    <i r="1">
      <x v="10"/>
      <x v="61"/>
    </i>
    <i r="2">
      <x v="88"/>
    </i>
    <i r="1">
      <x v="12"/>
      <x v="62"/>
    </i>
    <i r="1">
      <x v="13"/>
      <x v="3"/>
    </i>
    <i r="1">
      <x v="14"/>
      <x v="46"/>
    </i>
    <i r="1">
      <x v="15"/>
      <x v="9"/>
    </i>
    <i r="2">
      <x v="69"/>
    </i>
    <i r="1">
      <x v="17"/>
      <x v="11"/>
    </i>
    <i r="1">
      <x v="18"/>
      <x v="1"/>
    </i>
    <i r="1">
      <x v="19"/>
      <x v="13"/>
    </i>
    <i t="blank">
      <x v="9"/>
    </i>
    <i>
      <x v="10"/>
    </i>
    <i r="1">
      <x/>
      <x v="82"/>
    </i>
    <i r="1">
      <x v="1"/>
      <x v="63"/>
    </i>
    <i r="1">
      <x v="2"/>
      <x v="81"/>
    </i>
    <i r="1">
      <x v="3"/>
      <x v="89"/>
    </i>
    <i r="1">
      <x v="4"/>
      <x v="76"/>
    </i>
    <i r="1">
      <x v="5"/>
      <x v="74"/>
    </i>
    <i r="1">
      <x v="6"/>
      <x v="87"/>
    </i>
    <i r="1">
      <x v="7"/>
      <x v="65"/>
    </i>
    <i r="1">
      <x v="8"/>
      <x v="80"/>
    </i>
    <i r="1">
      <x v="9"/>
      <x v="61"/>
    </i>
    <i r="1">
      <x v="10"/>
      <x v="62"/>
    </i>
    <i r="1">
      <x v="11"/>
      <x v="70"/>
    </i>
    <i r="1">
      <x v="12"/>
      <x v="77"/>
    </i>
    <i r="1">
      <x v="13"/>
      <x v="88"/>
    </i>
    <i r="1">
      <x v="14"/>
      <x v="57"/>
    </i>
    <i r="1">
      <x v="15"/>
      <x v="13"/>
    </i>
    <i r="1">
      <x v="16"/>
      <x v="1"/>
    </i>
    <i r="1">
      <x v="17"/>
      <x v="3"/>
    </i>
    <i r="2">
      <x v="84"/>
    </i>
    <i r="1">
      <x v="19"/>
      <x v="86"/>
    </i>
    <i t="blank">
      <x v="10"/>
    </i>
    <i>
      <x v="11"/>
    </i>
    <i r="1">
      <x/>
      <x v="82"/>
    </i>
    <i r="1">
      <x v="1"/>
      <x v="74"/>
    </i>
    <i r="2">
      <x v="76"/>
    </i>
    <i r="1">
      <x v="3"/>
      <x v="81"/>
    </i>
    <i r="1">
      <x v="4"/>
      <x v="77"/>
    </i>
    <i r="1">
      <x v="5"/>
      <x v="2"/>
    </i>
    <i r="1">
      <x v="6"/>
      <x v="71"/>
    </i>
    <i r="1">
      <x v="7"/>
      <x v="87"/>
    </i>
    <i r="1">
      <x v="8"/>
      <x v="46"/>
    </i>
    <i r="1">
      <x v="9"/>
      <x v="63"/>
    </i>
    <i r="1">
      <x v="10"/>
      <x/>
    </i>
    <i r="2">
      <x v="89"/>
    </i>
    <i r="1">
      <x v="12"/>
      <x v="95"/>
    </i>
    <i r="1">
      <x v="13"/>
      <x v="45"/>
    </i>
    <i r="1">
      <x v="14"/>
      <x v="47"/>
    </i>
    <i r="2">
      <x v="57"/>
    </i>
    <i r="2">
      <x v="80"/>
    </i>
    <i r="1">
      <x v="17"/>
      <x v="11"/>
    </i>
    <i r="1">
      <x v="18"/>
      <x v="78"/>
    </i>
    <i r="1">
      <x v="19"/>
      <x v="39"/>
    </i>
    <i t="blank">
      <x v="11"/>
    </i>
    <i>
      <x v="12"/>
    </i>
    <i r="1">
      <x/>
      <x v="82"/>
    </i>
    <i r="1">
      <x v="1"/>
      <x v="76"/>
    </i>
    <i r="1">
      <x v="2"/>
      <x v="81"/>
    </i>
    <i r="1">
      <x v="3"/>
      <x v="74"/>
    </i>
    <i r="1">
      <x v="4"/>
      <x v="39"/>
    </i>
    <i r="2">
      <x v="57"/>
    </i>
    <i r="2">
      <x v="89"/>
    </i>
    <i r="1">
      <x v="7"/>
      <x v="63"/>
    </i>
    <i r="1">
      <x v="8"/>
      <x v="11"/>
    </i>
    <i r="1">
      <x v="9"/>
      <x/>
    </i>
    <i r="2">
      <x v="13"/>
    </i>
    <i r="2">
      <x v="51"/>
    </i>
    <i r="1">
      <x v="12"/>
      <x v="77"/>
    </i>
    <i r="1">
      <x v="13"/>
      <x v="87"/>
    </i>
    <i r="1">
      <x v="14"/>
      <x v="80"/>
    </i>
    <i r="1">
      <x v="15"/>
      <x v="2"/>
    </i>
    <i r="1">
      <x v="16"/>
      <x v="1"/>
    </i>
    <i r="1">
      <x v="17"/>
      <x v="78"/>
    </i>
    <i r="1">
      <x v="18"/>
      <x v="95"/>
    </i>
    <i r="1">
      <x v="19"/>
      <x v="3"/>
    </i>
    <i t="blank">
      <x v="12"/>
    </i>
    <i>
      <x v="13"/>
    </i>
    <i r="1">
      <x/>
      <x v="63"/>
    </i>
    <i r="1">
      <x v="1"/>
      <x v="82"/>
    </i>
    <i r="1">
      <x v="2"/>
      <x v="76"/>
    </i>
    <i r="1">
      <x v="3"/>
      <x v="81"/>
    </i>
    <i r="1">
      <x v="4"/>
      <x v="89"/>
    </i>
    <i r="1">
      <x v="5"/>
      <x v="74"/>
    </i>
    <i r="1">
      <x v="6"/>
      <x v="87"/>
    </i>
    <i r="1">
      <x v="7"/>
      <x v="61"/>
    </i>
    <i r="1">
      <x v="8"/>
      <x v="65"/>
    </i>
    <i r="1">
      <x v="9"/>
      <x v="57"/>
    </i>
    <i r="1">
      <x v="10"/>
      <x v="3"/>
    </i>
    <i r="1">
      <x v="11"/>
      <x v="62"/>
    </i>
    <i r="1">
      <x v="12"/>
      <x v="11"/>
    </i>
    <i r="1">
      <x v="13"/>
      <x v="80"/>
    </i>
    <i r="1">
      <x v="14"/>
      <x v="46"/>
    </i>
    <i r="1">
      <x v="15"/>
      <x v="13"/>
    </i>
    <i r="1">
      <x v="16"/>
      <x v="70"/>
    </i>
    <i r="1">
      <x v="17"/>
      <x v="77"/>
    </i>
    <i r="1">
      <x v="18"/>
      <x v="1"/>
    </i>
    <i r="1">
      <x v="19"/>
      <x v="10"/>
    </i>
    <i t="blank">
      <x v="13"/>
    </i>
    <i>
      <x v="14"/>
    </i>
    <i r="1">
      <x/>
      <x v="82"/>
    </i>
    <i r="1">
      <x v="1"/>
      <x v="81"/>
    </i>
    <i r="1">
      <x v="2"/>
      <x v="63"/>
    </i>
    <i r="1">
      <x v="3"/>
      <x v="47"/>
    </i>
    <i r="1">
      <x v="4"/>
      <x v="74"/>
    </i>
    <i r="1">
      <x v="5"/>
      <x v="76"/>
    </i>
    <i r="1">
      <x v="6"/>
      <x v="2"/>
    </i>
    <i r="2">
      <x v="95"/>
    </i>
    <i r="1">
      <x v="8"/>
      <x v="13"/>
    </i>
    <i r="2">
      <x v="89"/>
    </i>
    <i r="1">
      <x v="10"/>
      <x v="87"/>
    </i>
    <i r="1">
      <x v="11"/>
      <x v="1"/>
    </i>
    <i r="1">
      <x v="12"/>
      <x v="62"/>
    </i>
    <i r="1">
      <x v="13"/>
      <x v="57"/>
    </i>
    <i r="1">
      <x v="14"/>
      <x/>
    </i>
    <i r="1">
      <x v="15"/>
      <x v="3"/>
    </i>
    <i r="2">
      <x v="11"/>
    </i>
    <i r="1">
      <x v="17"/>
      <x v="80"/>
    </i>
    <i r="1">
      <x v="18"/>
      <x v="70"/>
    </i>
    <i r="1">
      <x v="19"/>
      <x v="8"/>
    </i>
    <i r="2">
      <x v="45"/>
    </i>
    <i r="2">
      <x v="88"/>
    </i>
    <i t="blank">
      <x v="14"/>
    </i>
    <i>
      <x v="15"/>
    </i>
    <i r="1">
      <x/>
      <x v="82"/>
    </i>
    <i r="1">
      <x v="1"/>
      <x v="81"/>
    </i>
    <i r="1">
      <x v="2"/>
      <x v="76"/>
    </i>
    <i r="1">
      <x v="3"/>
      <x v="74"/>
    </i>
    <i r="1">
      <x v="4"/>
      <x v="89"/>
    </i>
    <i r="1">
      <x v="5"/>
      <x/>
    </i>
    <i r="1">
      <x v="6"/>
      <x v="63"/>
    </i>
    <i r="1">
      <x v="7"/>
      <x v="61"/>
    </i>
    <i r="1">
      <x v="8"/>
      <x v="13"/>
    </i>
    <i r="1">
      <x v="9"/>
      <x v="57"/>
    </i>
    <i r="1">
      <x v="10"/>
      <x v="47"/>
    </i>
    <i r="1">
      <x v="11"/>
      <x v="11"/>
    </i>
    <i r="1">
      <x v="12"/>
      <x v="87"/>
    </i>
    <i r="2">
      <x v="95"/>
    </i>
    <i r="1">
      <x v="14"/>
      <x v="80"/>
    </i>
    <i r="1">
      <x v="15"/>
      <x v="45"/>
    </i>
    <i r="2">
      <x v="46"/>
    </i>
    <i r="2">
      <x v="88"/>
    </i>
    <i r="1">
      <x v="18"/>
      <x v="2"/>
    </i>
    <i r="1">
      <x v="19"/>
      <x v="39"/>
    </i>
    <i r="2">
      <x v="51"/>
    </i>
    <i r="2">
      <x v="86"/>
    </i>
    <i t="blank">
      <x v="15"/>
    </i>
    <i>
      <x v="16"/>
    </i>
    <i r="1">
      <x/>
      <x v="82"/>
    </i>
    <i r="1">
      <x v="1"/>
      <x v="63"/>
    </i>
    <i r="1">
      <x v="2"/>
      <x v="81"/>
    </i>
    <i r="1">
      <x v="3"/>
      <x v="74"/>
    </i>
    <i r="1">
      <x v="4"/>
      <x v="57"/>
    </i>
    <i r="1">
      <x v="5"/>
      <x v="89"/>
    </i>
    <i r="1">
      <x v="6"/>
      <x/>
    </i>
    <i r="1">
      <x v="7"/>
      <x v="76"/>
    </i>
    <i r="1">
      <x v="8"/>
      <x v="62"/>
    </i>
    <i r="1">
      <x v="9"/>
      <x v="2"/>
    </i>
    <i r="1">
      <x v="10"/>
      <x v="73"/>
    </i>
    <i r="1">
      <x v="11"/>
      <x v="39"/>
    </i>
    <i r="1">
      <x v="12"/>
      <x v="1"/>
    </i>
    <i r="2">
      <x v="46"/>
    </i>
    <i r="2">
      <x v="87"/>
    </i>
    <i r="1">
      <x v="15"/>
      <x v="45"/>
    </i>
    <i r="1">
      <x v="16"/>
      <x v="3"/>
    </i>
    <i r="2">
      <x v="11"/>
    </i>
    <i r="2">
      <x v="40"/>
    </i>
    <i r="2">
      <x v="84"/>
    </i>
    <i t="blank">
      <x v="16"/>
    </i>
    <i>
      <x v="17"/>
    </i>
    <i r="1">
      <x/>
      <x v="82"/>
    </i>
    <i r="1">
      <x v="1"/>
      <x v="81"/>
    </i>
    <i r="1">
      <x v="2"/>
      <x v="63"/>
    </i>
    <i r="1">
      <x v="3"/>
      <x v="74"/>
    </i>
    <i r="2">
      <x v="89"/>
    </i>
    <i r="1">
      <x v="5"/>
      <x v="87"/>
    </i>
    <i r="1">
      <x v="6"/>
      <x v="76"/>
    </i>
    <i r="1">
      <x v="7"/>
      <x v="47"/>
    </i>
    <i r="1">
      <x v="8"/>
      <x v="95"/>
    </i>
    <i r="1">
      <x v="9"/>
      <x v="57"/>
    </i>
    <i r="1">
      <x v="10"/>
      <x v="62"/>
    </i>
    <i r="2">
      <x v="70"/>
    </i>
    <i r="1">
      <x v="12"/>
      <x v="78"/>
    </i>
    <i r="1">
      <x v="13"/>
      <x v="46"/>
    </i>
    <i r="1">
      <x v="14"/>
      <x v="3"/>
    </i>
    <i r="2">
      <x v="86"/>
    </i>
    <i r="1">
      <x v="16"/>
      <x/>
    </i>
    <i r="1">
      <x v="17"/>
      <x v="2"/>
    </i>
    <i r="1">
      <x v="18"/>
      <x v="51"/>
    </i>
    <i r="1">
      <x v="19"/>
      <x v="1"/>
    </i>
    <i r="2">
      <x v="13"/>
    </i>
    <i t="blank">
      <x v="17"/>
    </i>
    <i>
      <x v="18"/>
    </i>
    <i r="1">
      <x/>
      <x v="82"/>
    </i>
    <i r="1">
      <x v="1"/>
      <x v="76"/>
    </i>
    <i r="1">
      <x v="2"/>
      <x v="81"/>
    </i>
    <i r="1">
      <x v="3"/>
      <x v="63"/>
    </i>
    <i r="1">
      <x v="4"/>
      <x v="95"/>
    </i>
    <i r="1">
      <x v="5"/>
      <x v="74"/>
    </i>
    <i r="1">
      <x v="6"/>
      <x v="89"/>
    </i>
    <i r="1">
      <x v="7"/>
      <x v="1"/>
    </i>
    <i r="1">
      <x v="8"/>
      <x v="11"/>
    </i>
    <i r="1">
      <x v="9"/>
      <x/>
    </i>
    <i r="2">
      <x v="57"/>
    </i>
    <i r="1">
      <x v="11"/>
      <x v="87"/>
    </i>
    <i r="1">
      <x v="12"/>
      <x v="2"/>
    </i>
    <i r="2">
      <x v="3"/>
    </i>
    <i r="2">
      <x v="13"/>
    </i>
    <i r="1">
      <x v="15"/>
      <x v="47"/>
    </i>
    <i r="1">
      <x v="16"/>
      <x v="10"/>
    </i>
    <i r="1">
      <x v="17"/>
      <x v="65"/>
    </i>
    <i r="1">
      <x v="18"/>
      <x v="61"/>
    </i>
    <i r="2">
      <x v="62"/>
    </i>
    <i r="2">
      <x v="86"/>
    </i>
    <i t="blank">
      <x v="18"/>
    </i>
    <i>
      <x v="19"/>
    </i>
    <i r="1">
      <x/>
      <x v="82"/>
    </i>
    <i r="1">
      <x v="1"/>
      <x v="76"/>
    </i>
    <i r="1">
      <x v="2"/>
      <x v="81"/>
    </i>
    <i r="1">
      <x v="3"/>
      <x v="2"/>
    </i>
    <i r="1">
      <x v="4"/>
      <x v="74"/>
    </i>
    <i r="1">
      <x v="5"/>
      <x v="46"/>
    </i>
    <i r="2">
      <x v="95"/>
    </i>
    <i r="1">
      <x v="7"/>
      <x v="11"/>
    </i>
    <i r="1">
      <x v="8"/>
      <x v="63"/>
    </i>
    <i r="1">
      <x v="9"/>
      <x/>
    </i>
    <i r="2">
      <x v="47"/>
    </i>
    <i r="1">
      <x v="11"/>
      <x v="1"/>
    </i>
    <i r="1">
      <x v="12"/>
      <x v="89"/>
    </i>
    <i r="1">
      <x v="13"/>
      <x v="13"/>
    </i>
    <i r="1">
      <x v="14"/>
      <x v="57"/>
    </i>
    <i r="1">
      <x v="15"/>
      <x v="4"/>
    </i>
    <i r="1">
      <x v="16"/>
      <x v="51"/>
    </i>
    <i r="1">
      <x v="17"/>
      <x v="73"/>
    </i>
    <i r="1">
      <x v="18"/>
      <x v="45"/>
    </i>
    <i r="1">
      <x v="19"/>
      <x v="53"/>
    </i>
    <i t="blank">
      <x v="19"/>
    </i>
    <i>
      <x v="20"/>
    </i>
    <i r="1">
      <x/>
      <x v="63"/>
    </i>
    <i r="1">
      <x v="1"/>
      <x v="82"/>
    </i>
    <i r="1">
      <x v="2"/>
      <x v="76"/>
    </i>
    <i r="2">
      <x v="81"/>
    </i>
    <i r="1">
      <x v="4"/>
      <x v="89"/>
    </i>
    <i r="1">
      <x v="5"/>
      <x v="87"/>
    </i>
    <i r="1">
      <x v="6"/>
      <x v="74"/>
    </i>
    <i r="1">
      <x v="7"/>
      <x v="70"/>
    </i>
    <i r="1">
      <x v="8"/>
      <x v="57"/>
    </i>
    <i r="1">
      <x v="9"/>
      <x v="69"/>
    </i>
    <i r="1">
      <x v="10"/>
      <x v="62"/>
    </i>
    <i r="1">
      <x v="11"/>
      <x v="88"/>
    </i>
    <i r="1">
      <x v="12"/>
      <x v="61"/>
    </i>
    <i r="1">
      <x v="13"/>
      <x v="46"/>
    </i>
    <i r="1">
      <x v="14"/>
      <x v="86"/>
    </i>
    <i r="1">
      <x v="15"/>
      <x v="51"/>
    </i>
    <i r="1">
      <x v="16"/>
      <x v="80"/>
    </i>
    <i r="1">
      <x v="17"/>
      <x v="13"/>
    </i>
    <i r="1">
      <x v="18"/>
      <x v="11"/>
    </i>
    <i r="1">
      <x v="19"/>
      <x v="65"/>
    </i>
    <i t="blank">
      <x v="20"/>
    </i>
    <i>
      <x v="21"/>
    </i>
    <i r="1">
      <x/>
      <x v="82"/>
    </i>
    <i r="1">
      <x v="1"/>
      <x v="63"/>
    </i>
    <i r="1">
      <x v="2"/>
      <x v="89"/>
    </i>
    <i r="1">
      <x v="3"/>
      <x v="87"/>
    </i>
    <i r="1">
      <x v="4"/>
      <x v="81"/>
    </i>
    <i r="1">
      <x v="5"/>
      <x v="74"/>
    </i>
    <i r="1">
      <x v="6"/>
      <x v="76"/>
    </i>
    <i r="1">
      <x v="7"/>
      <x v="65"/>
    </i>
    <i r="1">
      <x v="8"/>
      <x v="62"/>
    </i>
    <i r="1">
      <x v="9"/>
      <x v="57"/>
    </i>
    <i r="1">
      <x v="10"/>
      <x v="3"/>
    </i>
    <i r="1">
      <x v="11"/>
      <x v="47"/>
    </i>
    <i r="1">
      <x v="12"/>
      <x v="70"/>
    </i>
    <i r="1">
      <x v="13"/>
      <x v="86"/>
    </i>
    <i r="1">
      <x v="14"/>
      <x/>
    </i>
    <i r="1">
      <x v="15"/>
      <x v="11"/>
    </i>
    <i r="1">
      <x v="16"/>
      <x v="13"/>
    </i>
    <i r="1">
      <x v="17"/>
      <x v="1"/>
    </i>
    <i r="1">
      <x v="18"/>
      <x v="2"/>
    </i>
    <i r="2">
      <x v="95"/>
    </i>
    <i t="blank">
      <x v="21"/>
    </i>
    <i>
      <x v="22"/>
    </i>
    <i r="1">
      <x/>
      <x v="63"/>
    </i>
    <i r="1">
      <x v="1"/>
      <x v="82"/>
    </i>
    <i r="1">
      <x v="2"/>
      <x v="74"/>
    </i>
    <i r="1">
      <x v="3"/>
      <x v="2"/>
    </i>
    <i r="2">
      <x v="71"/>
    </i>
    <i r="1">
      <x v="5"/>
      <x v="46"/>
    </i>
    <i r="1">
      <x v="6"/>
      <x v="81"/>
    </i>
    <i r="1">
      <x v="7"/>
      <x v="73"/>
    </i>
    <i r="1">
      <x v="8"/>
      <x v="57"/>
    </i>
    <i r="2">
      <x v="76"/>
    </i>
    <i r="1">
      <x v="10"/>
      <x/>
    </i>
    <i r="1">
      <x v="11"/>
      <x v="45"/>
    </i>
    <i r="1">
      <x v="12"/>
      <x v="13"/>
    </i>
    <i r="2">
      <x v="53"/>
    </i>
    <i r="2">
      <x v="64"/>
    </i>
    <i r="1">
      <x v="15"/>
      <x v="3"/>
    </i>
    <i r="2">
      <x v="32"/>
    </i>
    <i r="2">
      <x v="78"/>
    </i>
    <i r="1">
      <x v="18"/>
      <x v="43"/>
    </i>
    <i r="2">
      <x v="44"/>
    </i>
    <i r="2">
      <x v="85"/>
    </i>
    <i r="2">
      <x v="87"/>
    </i>
    <i t="blank">
      <x v="22"/>
    </i>
    <i>
      <x v="23"/>
    </i>
    <i r="1">
      <x/>
      <x v="82"/>
    </i>
    <i r="1">
      <x v="1"/>
      <x v="81"/>
    </i>
    <i r="1">
      <x v="2"/>
      <x v="13"/>
    </i>
    <i r="1">
      <x v="3"/>
      <x v="74"/>
    </i>
    <i r="1">
      <x v="4"/>
      <x v="11"/>
    </i>
    <i r="1">
      <x v="5"/>
      <x v="76"/>
    </i>
    <i r="1">
      <x v="6"/>
      <x v="63"/>
    </i>
    <i r="1">
      <x v="7"/>
      <x/>
    </i>
    <i r="1">
      <x v="8"/>
      <x v="89"/>
    </i>
    <i r="1">
      <x v="9"/>
      <x v="47"/>
    </i>
    <i r="1">
      <x v="10"/>
      <x v="95"/>
    </i>
    <i r="1">
      <x v="11"/>
      <x v="46"/>
    </i>
    <i r="1">
      <x v="12"/>
      <x v="87"/>
    </i>
    <i r="1">
      <x v="13"/>
      <x v="3"/>
    </i>
    <i r="1">
      <x v="14"/>
      <x v="57"/>
    </i>
    <i r="1">
      <x v="15"/>
      <x v="5"/>
    </i>
    <i r="1">
      <x v="16"/>
      <x v="14"/>
    </i>
    <i r="1">
      <x v="17"/>
      <x v="1"/>
    </i>
    <i r="2">
      <x v="10"/>
    </i>
    <i r="1">
      <x v="19"/>
      <x v="8"/>
    </i>
    <i t="blank">
      <x v="23"/>
    </i>
    <i>
      <x v="24"/>
    </i>
    <i r="1">
      <x/>
      <x v="82"/>
    </i>
    <i r="1">
      <x v="1"/>
      <x v="63"/>
    </i>
    <i r="1">
      <x v="2"/>
      <x v="89"/>
    </i>
    <i r="1">
      <x v="3"/>
      <x v="81"/>
    </i>
    <i r="2">
      <x v="87"/>
    </i>
    <i r="1">
      <x v="5"/>
      <x v="76"/>
    </i>
    <i r="1">
      <x v="6"/>
      <x v="65"/>
    </i>
    <i r="1">
      <x v="7"/>
      <x v="74"/>
    </i>
    <i r="1">
      <x v="8"/>
      <x v="11"/>
    </i>
    <i r="1">
      <x v="9"/>
      <x v="80"/>
    </i>
    <i r="1">
      <x v="10"/>
      <x v="86"/>
    </i>
    <i r="1">
      <x v="11"/>
      <x v="61"/>
    </i>
    <i r="1">
      <x v="12"/>
      <x v="45"/>
    </i>
    <i r="1">
      <x v="13"/>
      <x v="46"/>
    </i>
    <i r="1">
      <x v="14"/>
      <x v="2"/>
    </i>
    <i r="2">
      <x v="70"/>
    </i>
    <i r="1">
      <x v="16"/>
      <x/>
    </i>
    <i r="2">
      <x v="1"/>
    </i>
    <i r="2">
      <x v="88"/>
    </i>
    <i r="1">
      <x v="19"/>
      <x v="3"/>
    </i>
    <i t="blank">
      <x v="24"/>
    </i>
    <i>
      <x v="25"/>
    </i>
    <i r="1">
      <x/>
      <x v="82"/>
    </i>
    <i r="1">
      <x v="1"/>
      <x v="76"/>
    </i>
    <i r="1">
      <x v="2"/>
      <x v="81"/>
    </i>
    <i r="1">
      <x v="3"/>
      <x v="87"/>
    </i>
    <i r="1">
      <x v="4"/>
      <x v="89"/>
    </i>
    <i r="1">
      <x v="5"/>
      <x v="74"/>
    </i>
    <i r="1">
      <x v="6"/>
      <x v="63"/>
    </i>
    <i r="1">
      <x v="7"/>
      <x v="86"/>
    </i>
    <i r="1">
      <x v="8"/>
      <x v="77"/>
    </i>
    <i r="1">
      <x v="9"/>
      <x v="47"/>
    </i>
    <i r="2">
      <x v="80"/>
    </i>
    <i r="1">
      <x v="11"/>
      <x v="46"/>
    </i>
    <i r="1">
      <x v="12"/>
      <x v="39"/>
    </i>
    <i r="2">
      <x v="57"/>
    </i>
    <i r="1">
      <x v="14"/>
      <x v="88"/>
    </i>
    <i r="2">
      <x v="95"/>
    </i>
    <i r="1">
      <x v="16"/>
      <x v="65"/>
    </i>
    <i r="1">
      <x v="17"/>
      <x v="62"/>
    </i>
    <i r="1">
      <x v="18"/>
      <x v="11"/>
    </i>
    <i r="2">
      <x v="61"/>
    </i>
    <i t="blank">
      <x v="25"/>
    </i>
    <i>
      <x v="26"/>
    </i>
    <i r="1">
      <x/>
      <x v="82"/>
    </i>
    <i r="1">
      <x v="1"/>
      <x v="63"/>
    </i>
    <i r="1">
      <x v="2"/>
      <x v="89"/>
    </i>
    <i r="1">
      <x v="3"/>
      <x v="87"/>
    </i>
    <i r="1">
      <x v="4"/>
      <x v="81"/>
    </i>
    <i r="1">
      <x v="5"/>
      <x v="74"/>
    </i>
    <i r="1">
      <x v="6"/>
      <x v="57"/>
    </i>
    <i r="2">
      <x v="76"/>
    </i>
    <i r="1">
      <x v="8"/>
      <x v="11"/>
    </i>
    <i r="2">
      <x v="86"/>
    </i>
    <i r="1">
      <x v="10"/>
      <x v="46"/>
    </i>
    <i r="1">
      <x v="11"/>
      <x v="28"/>
    </i>
    <i r="1">
      <x v="12"/>
      <x v="2"/>
    </i>
    <i r="2">
      <x v="3"/>
    </i>
    <i r="2">
      <x v="65"/>
    </i>
    <i r="1">
      <x v="15"/>
      <x v="47"/>
    </i>
    <i r="1">
      <x v="16"/>
      <x v="88"/>
    </i>
    <i r="1">
      <x v="17"/>
      <x v="78"/>
    </i>
    <i r="1">
      <x v="18"/>
      <x v="8"/>
    </i>
    <i r="2">
      <x v="13"/>
    </i>
    <i r="2">
      <x v="51"/>
    </i>
    <i r="2">
      <x v="69"/>
    </i>
    <i t="blank">
      <x v="26"/>
    </i>
    <i>
      <x v="27"/>
    </i>
    <i r="1">
      <x/>
      <x v="63"/>
    </i>
    <i r="1">
      <x v="1"/>
      <x v="82"/>
    </i>
    <i r="1">
      <x v="2"/>
      <x v="74"/>
    </i>
    <i r="1">
      <x v="3"/>
      <x v="76"/>
    </i>
    <i r="1">
      <x v="4"/>
      <x v="81"/>
    </i>
    <i r="1">
      <x v="5"/>
      <x v="2"/>
    </i>
    <i r="1">
      <x v="6"/>
      <x v="71"/>
    </i>
    <i r="1">
      <x v="7"/>
      <x v="46"/>
    </i>
    <i r="2">
      <x v="57"/>
    </i>
    <i r="1">
      <x v="9"/>
      <x v="73"/>
    </i>
    <i r="1">
      <x v="10"/>
      <x v="45"/>
    </i>
    <i r="2">
      <x v="55"/>
    </i>
    <i r="2">
      <x v="77"/>
    </i>
    <i r="1">
      <x v="13"/>
      <x v="1"/>
    </i>
    <i r="2">
      <x v="87"/>
    </i>
    <i r="1">
      <x v="15"/>
      <x v="15"/>
    </i>
    <i r="2">
      <x v="85"/>
    </i>
    <i r="1">
      <x v="17"/>
      <x v="95"/>
    </i>
    <i r="1">
      <x v="18"/>
      <x v="78"/>
    </i>
    <i r="1">
      <x v="19"/>
      <x/>
    </i>
    <i r="2">
      <x v="70"/>
    </i>
    <i t="blank">
      <x v="27"/>
    </i>
    <i>
      <x v="28"/>
    </i>
    <i r="1">
      <x/>
      <x v="82"/>
    </i>
    <i r="1">
      <x v="1"/>
      <x v="81"/>
    </i>
    <i r="1">
      <x v="2"/>
      <x v="89"/>
    </i>
    <i r="1">
      <x v="3"/>
      <x v="74"/>
    </i>
    <i r="1">
      <x v="4"/>
      <x v="76"/>
    </i>
    <i r="1">
      <x v="5"/>
      <x v="13"/>
    </i>
    <i r="2">
      <x v="63"/>
    </i>
    <i r="1">
      <x v="7"/>
      <x v="3"/>
    </i>
    <i r="2">
      <x v="87"/>
    </i>
    <i r="1">
      <x v="9"/>
      <x v="57"/>
    </i>
    <i r="1">
      <x v="10"/>
      <x v="1"/>
    </i>
    <i r="2">
      <x v="61"/>
    </i>
    <i r="1">
      <x v="12"/>
      <x/>
    </i>
    <i r="1">
      <x v="13"/>
      <x v="8"/>
    </i>
    <i r="1">
      <x v="14"/>
      <x v="2"/>
    </i>
    <i r="2">
      <x v="70"/>
    </i>
    <i r="1">
      <x v="16"/>
      <x v="11"/>
    </i>
    <i r="2">
      <x v="95"/>
    </i>
    <i r="1">
      <x v="18"/>
      <x v="23"/>
    </i>
    <i r="2">
      <x v="46"/>
    </i>
    <i r="2">
      <x v="86"/>
    </i>
    <i t="blank">
      <x v="28"/>
    </i>
    <i>
      <x v="29"/>
    </i>
    <i r="1">
      <x/>
      <x v="76"/>
    </i>
    <i r="1">
      <x v="1"/>
      <x v="82"/>
    </i>
    <i r="1">
      <x v="2"/>
      <x v="63"/>
    </i>
    <i r="1">
      <x v="3"/>
      <x v="74"/>
    </i>
    <i r="1">
      <x v="4"/>
      <x v="81"/>
    </i>
    <i r="1">
      <x v="5"/>
      <x v="87"/>
    </i>
    <i r="1">
      <x v="6"/>
      <x/>
    </i>
    <i r="1">
      <x v="7"/>
      <x v="2"/>
    </i>
    <i r="2">
      <x v="47"/>
    </i>
    <i r="1">
      <x v="9"/>
      <x v="89"/>
    </i>
    <i r="1">
      <x v="10"/>
      <x v="11"/>
    </i>
    <i r="1">
      <x v="11"/>
      <x v="77"/>
    </i>
    <i r="2">
      <x v="95"/>
    </i>
    <i r="1">
      <x v="13"/>
      <x v="13"/>
    </i>
    <i r="1">
      <x v="14"/>
      <x v="57"/>
    </i>
    <i r="1">
      <x v="15"/>
      <x v="78"/>
    </i>
    <i r="1">
      <x v="16"/>
      <x v="73"/>
    </i>
    <i r="1">
      <x v="17"/>
      <x v="46"/>
    </i>
    <i r="1">
      <x v="18"/>
      <x v="70"/>
    </i>
    <i r="1">
      <x v="19"/>
      <x v="80"/>
    </i>
    <i t="blank">
      <x v="29"/>
    </i>
    <i>
      <x v="30"/>
    </i>
    <i r="1">
      <x/>
      <x v="81"/>
    </i>
    <i r="1">
      <x v="1"/>
      <x v="82"/>
    </i>
    <i r="1">
      <x v="2"/>
      <x v="2"/>
    </i>
    <i r="1">
      <x v="3"/>
      <x v="74"/>
    </i>
    <i r="1">
      <x v="4"/>
      <x v="11"/>
    </i>
    <i r="1">
      <x v="5"/>
      <x v="46"/>
    </i>
    <i r="2">
      <x v="76"/>
    </i>
    <i r="1">
      <x v="7"/>
      <x v="57"/>
    </i>
    <i r="2">
      <x v="95"/>
    </i>
    <i r="1">
      <x v="9"/>
      <x/>
    </i>
    <i r="1">
      <x v="10"/>
      <x v="73"/>
    </i>
    <i r="1">
      <x v="11"/>
      <x v="4"/>
    </i>
    <i r="2">
      <x v="13"/>
    </i>
    <i r="1">
      <x v="13"/>
      <x v="89"/>
    </i>
    <i r="1">
      <x v="14"/>
      <x v="53"/>
    </i>
    <i r="2">
      <x v="63"/>
    </i>
    <i r="2">
      <x v="80"/>
    </i>
    <i r="1">
      <x v="17"/>
      <x v="51"/>
    </i>
    <i r="1">
      <x v="18"/>
      <x v="48"/>
    </i>
    <i r="1">
      <x v="19"/>
      <x v="15"/>
    </i>
    <i r="2">
      <x v="45"/>
    </i>
    <i r="2">
      <x v="71"/>
    </i>
    <i r="2">
      <x v="85"/>
    </i>
    <i t="blank">
      <x v="30"/>
    </i>
    <i>
      <x v="31"/>
    </i>
    <i r="1">
      <x/>
      <x v="63"/>
    </i>
    <i r="1">
      <x v="1"/>
      <x v="82"/>
    </i>
    <i r="1">
      <x v="2"/>
      <x v="65"/>
    </i>
    <i r="1">
      <x v="3"/>
      <x v="87"/>
    </i>
    <i r="1">
      <x v="4"/>
      <x v="76"/>
    </i>
    <i r="1">
      <x v="5"/>
      <x v="81"/>
    </i>
    <i r="1">
      <x v="6"/>
      <x v="74"/>
    </i>
    <i r="1">
      <x v="7"/>
      <x v="28"/>
    </i>
    <i r="2">
      <x v="68"/>
    </i>
    <i r="1">
      <x v="9"/>
      <x v="89"/>
    </i>
    <i r="1">
      <x v="10"/>
      <x v="69"/>
    </i>
    <i r="1">
      <x v="11"/>
      <x v="61"/>
    </i>
    <i r="1">
      <x v="12"/>
      <x v="57"/>
    </i>
    <i r="2">
      <x v="88"/>
    </i>
    <i r="2">
      <x v="96"/>
    </i>
    <i r="1">
      <x v="15"/>
      <x v="83"/>
    </i>
    <i r="1">
      <x v="16"/>
      <x v="37"/>
    </i>
    <i r="1">
      <x v="17"/>
      <x/>
    </i>
    <i r="1">
      <x v="18"/>
      <x v="46"/>
    </i>
    <i r="1">
      <x v="19"/>
      <x v="9"/>
    </i>
    <i r="2">
      <x v="51"/>
    </i>
    <i r="2">
      <x v="70"/>
    </i>
    <i r="2">
      <x v="80"/>
    </i>
    <i t="blank">
      <x v="31"/>
    </i>
    <i>
      <x v="32"/>
    </i>
    <i r="1">
      <x/>
      <x v="82"/>
    </i>
    <i r="1">
      <x v="1"/>
      <x v="36"/>
    </i>
    <i r="2">
      <x v="63"/>
    </i>
    <i r="1">
      <x v="3"/>
      <x v="81"/>
    </i>
    <i r="2">
      <x v="87"/>
    </i>
    <i r="1">
      <x v="5"/>
      <x v="47"/>
    </i>
    <i r="1">
      <x v="6"/>
      <x v="89"/>
    </i>
    <i r="1">
      <x v="7"/>
      <x v="11"/>
    </i>
    <i r="2">
      <x v="74"/>
    </i>
    <i r="1">
      <x v="9"/>
      <x v="86"/>
    </i>
    <i r="2">
      <x v="95"/>
    </i>
    <i r="1">
      <x v="11"/>
      <x v="76"/>
    </i>
    <i r="1">
      <x v="12"/>
      <x v="1"/>
    </i>
    <i r="1">
      <x v="13"/>
      <x v="57"/>
    </i>
    <i r="1">
      <x v="14"/>
      <x v="13"/>
    </i>
    <i r="2">
      <x v="65"/>
    </i>
    <i r="1">
      <x v="16"/>
      <x/>
    </i>
    <i r="2">
      <x v="46"/>
    </i>
    <i r="1">
      <x v="18"/>
      <x v="10"/>
    </i>
    <i r="1">
      <x v="19"/>
      <x v="3"/>
    </i>
    <i r="2">
      <x v="45"/>
    </i>
    <i r="2">
      <x v="58"/>
    </i>
    <i r="2">
      <x v="70"/>
    </i>
    <i r="2">
      <x v="84"/>
    </i>
    <i t="blank">
      <x v="32"/>
    </i>
    <i>
      <x v="33"/>
    </i>
    <i r="1">
      <x/>
      <x v="82"/>
    </i>
    <i r="1">
      <x v="1"/>
      <x v="63"/>
    </i>
    <i r="1">
      <x v="2"/>
      <x v="81"/>
    </i>
    <i r="1">
      <x v="3"/>
      <x v="92"/>
    </i>
    <i r="1">
      <x v="4"/>
      <x v="76"/>
    </i>
    <i r="1">
      <x v="5"/>
      <x v="13"/>
    </i>
    <i r="1">
      <x v="6"/>
      <x/>
    </i>
    <i r="2">
      <x v="11"/>
    </i>
    <i r="1">
      <x v="8"/>
      <x v="74"/>
    </i>
    <i r="1">
      <x v="9"/>
      <x v="47"/>
    </i>
    <i r="1">
      <x v="10"/>
      <x v="62"/>
    </i>
    <i r="1">
      <x v="11"/>
      <x v="5"/>
    </i>
    <i r="2">
      <x v="95"/>
    </i>
    <i r="1">
      <x v="13"/>
      <x v="2"/>
    </i>
    <i r="2">
      <x v="89"/>
    </i>
    <i r="1">
      <x v="15"/>
      <x v="1"/>
    </i>
    <i r="2">
      <x v="57"/>
    </i>
    <i r="1">
      <x v="17"/>
      <x v="51"/>
    </i>
    <i r="1">
      <x v="18"/>
      <x v="14"/>
    </i>
    <i r="2">
      <x v="70"/>
    </i>
    <i r="2">
      <x v="87"/>
    </i>
    <i t="blank">
      <x v="33"/>
    </i>
    <i>
      <x v="34"/>
    </i>
    <i r="1">
      <x/>
      <x v="82"/>
    </i>
    <i r="1">
      <x v="1"/>
      <x v="95"/>
    </i>
    <i r="1">
      <x v="2"/>
      <x v="81"/>
    </i>
    <i r="1">
      <x v="3"/>
      <x v="11"/>
    </i>
    <i r="2">
      <x v="63"/>
    </i>
    <i r="1">
      <x v="5"/>
      <x v="74"/>
    </i>
    <i r="1">
      <x v="6"/>
      <x v="47"/>
    </i>
    <i r="2">
      <x v="76"/>
    </i>
    <i r="1">
      <x v="8"/>
      <x v="13"/>
    </i>
    <i r="1">
      <x v="9"/>
      <x v="2"/>
    </i>
    <i r="1">
      <x v="10"/>
      <x v="10"/>
    </i>
    <i r="1">
      <x v="11"/>
      <x v="3"/>
    </i>
    <i r="1">
      <x v="12"/>
      <x/>
    </i>
    <i r="2">
      <x v="87"/>
    </i>
    <i r="1">
      <x v="14"/>
      <x v="23"/>
    </i>
    <i r="1">
      <x v="15"/>
      <x v="1"/>
    </i>
    <i r="2">
      <x v="9"/>
    </i>
    <i r="1">
      <x v="17"/>
      <x v="57"/>
    </i>
    <i r="1">
      <x v="18"/>
      <x v="89"/>
    </i>
    <i r="1">
      <x v="19"/>
      <x v="62"/>
    </i>
    <i t="blank">
      <x v="34"/>
    </i>
    <i>
      <x v="35"/>
    </i>
    <i r="1">
      <x/>
      <x v="82"/>
    </i>
    <i r="1">
      <x v="1"/>
      <x v="63"/>
    </i>
    <i r="1">
      <x v="2"/>
      <x v="95"/>
    </i>
    <i r="1">
      <x v="3"/>
      <x v="87"/>
    </i>
    <i r="1">
      <x v="4"/>
      <x/>
    </i>
    <i r="1">
      <x v="5"/>
      <x v="2"/>
    </i>
    <i r="1">
      <x v="6"/>
      <x v="81"/>
    </i>
    <i r="1">
      <x v="7"/>
      <x v="47"/>
    </i>
    <i r="2">
      <x v="70"/>
    </i>
    <i r="2">
      <x v="74"/>
    </i>
    <i r="2">
      <x v="89"/>
    </i>
    <i r="1">
      <x v="11"/>
      <x v="1"/>
    </i>
    <i r="1">
      <x v="12"/>
      <x v="11"/>
    </i>
    <i r="2">
      <x v="57"/>
    </i>
    <i r="1">
      <x v="14"/>
      <x v="10"/>
    </i>
    <i r="2">
      <x v="53"/>
    </i>
    <i r="1">
      <x v="16"/>
      <x v="9"/>
    </i>
    <i r="2">
      <x v="45"/>
    </i>
    <i r="2">
      <x v="68"/>
    </i>
    <i r="2">
      <x v="69"/>
    </i>
    <i r="2">
      <x v="76"/>
    </i>
    <i t="blank">
      <x v="35"/>
    </i>
    <i>
      <x v="36"/>
    </i>
    <i r="1">
      <x/>
      <x/>
    </i>
    <i r="1">
      <x v="1"/>
      <x v="23"/>
    </i>
    <i r="2">
      <x v="82"/>
    </i>
    <i r="2">
      <x v="87"/>
    </i>
    <i r="2">
      <x v="95"/>
    </i>
    <i r="1">
      <x v="5"/>
      <x v="81"/>
    </i>
    <i r="1">
      <x v="6"/>
      <x v="13"/>
    </i>
    <i r="2">
      <x v="57"/>
    </i>
    <i r="1">
      <x v="8"/>
      <x v="2"/>
    </i>
    <i r="1">
      <x v="9"/>
      <x v="1"/>
    </i>
    <i r="2">
      <x v="74"/>
    </i>
    <i r="2">
      <x v="89"/>
    </i>
    <i r="1">
      <x v="12"/>
      <x v="62"/>
    </i>
    <i r="1">
      <x v="13"/>
      <x v="47"/>
    </i>
    <i r="2">
      <x v="76"/>
    </i>
    <i r="1">
      <x v="15"/>
      <x v="63"/>
    </i>
    <i r="1">
      <x v="16"/>
      <x v="3"/>
    </i>
    <i r="1">
      <x v="17"/>
      <x v="11"/>
    </i>
    <i r="1">
      <x v="18"/>
      <x v="4"/>
    </i>
    <i r="2">
      <x v="46"/>
    </i>
    <i r="2">
      <x v="70"/>
    </i>
    <i r="2">
      <x v="86"/>
    </i>
    <i t="blank">
      <x v="36"/>
    </i>
    <i>
      <x v="37"/>
    </i>
    <i r="1">
      <x/>
      <x v="82"/>
    </i>
    <i r="1">
      <x v="1"/>
      <x v="63"/>
    </i>
    <i r="1">
      <x v="2"/>
      <x v="81"/>
    </i>
    <i r="1">
      <x v="3"/>
      <x v="74"/>
    </i>
    <i r="1">
      <x v="4"/>
      <x v="76"/>
    </i>
    <i r="1">
      <x v="5"/>
      <x v="47"/>
    </i>
    <i r="1">
      <x v="6"/>
      <x v="2"/>
    </i>
    <i r="2">
      <x v="89"/>
    </i>
    <i r="1">
      <x v="8"/>
      <x/>
    </i>
    <i r="2">
      <x v="13"/>
    </i>
    <i r="2">
      <x v="95"/>
    </i>
    <i r="1">
      <x v="11"/>
      <x v="1"/>
    </i>
    <i r="2">
      <x v="11"/>
    </i>
    <i r="2">
      <x v="62"/>
    </i>
    <i r="1">
      <x v="14"/>
      <x v="48"/>
    </i>
    <i r="1">
      <x v="15"/>
      <x v="61"/>
    </i>
    <i r="2">
      <x v="87"/>
    </i>
    <i r="2">
      <x v="88"/>
    </i>
    <i r="1">
      <x v="18"/>
      <x v="3"/>
    </i>
    <i r="1">
      <x v="19"/>
      <x v="57"/>
    </i>
    <i t="blank">
      <x v="37"/>
    </i>
    <i>
      <x v="38"/>
    </i>
    <i r="1">
      <x/>
      <x v="71"/>
    </i>
    <i r="1">
      <x v="1"/>
      <x v="2"/>
    </i>
    <i r="1">
      <x v="2"/>
      <x v="82"/>
    </i>
    <i r="1">
      <x v="3"/>
      <x v="81"/>
    </i>
    <i r="1">
      <x v="4"/>
      <x v="74"/>
    </i>
    <i r="1">
      <x v="5"/>
      <x v="46"/>
    </i>
    <i r="1">
      <x v="6"/>
      <x v="63"/>
    </i>
    <i r="1">
      <x v="7"/>
      <x v="45"/>
    </i>
    <i r="1">
      <x v="8"/>
      <x/>
    </i>
    <i r="2">
      <x v="95"/>
    </i>
    <i r="1">
      <x v="10"/>
      <x v="53"/>
    </i>
    <i r="2">
      <x v="73"/>
    </i>
    <i r="2">
      <x v="78"/>
    </i>
    <i r="1">
      <x v="13"/>
      <x v="13"/>
    </i>
    <i r="2">
      <x v="32"/>
    </i>
    <i r="2">
      <x v="76"/>
    </i>
    <i r="1">
      <x v="16"/>
      <x v="57"/>
    </i>
    <i r="1">
      <x v="17"/>
      <x v="1"/>
    </i>
    <i r="2">
      <x v="7"/>
    </i>
    <i r="1">
      <x v="19"/>
      <x v="44"/>
    </i>
    <i r="2">
      <x v="85"/>
    </i>
    <i t="blank">
      <x v="38"/>
    </i>
    <i>
      <x v="39"/>
    </i>
    <i r="1">
      <x/>
      <x v="82"/>
    </i>
    <i r="1">
      <x v="1"/>
      <x v="81"/>
    </i>
    <i r="1">
      <x v="2"/>
      <x/>
    </i>
    <i r="1">
      <x v="3"/>
      <x v="2"/>
    </i>
    <i r="1">
      <x v="4"/>
      <x v="4"/>
    </i>
    <i r="1">
      <x v="5"/>
      <x v="95"/>
    </i>
    <i r="1">
      <x v="6"/>
      <x v="43"/>
    </i>
    <i r="1">
      <x v="7"/>
      <x v="74"/>
    </i>
    <i r="1">
      <x v="8"/>
      <x v="47"/>
    </i>
    <i r="2">
      <x v="76"/>
    </i>
    <i r="1">
      <x v="10"/>
      <x v="11"/>
    </i>
    <i r="2">
      <x v="46"/>
    </i>
    <i r="1">
      <x v="12"/>
      <x v="13"/>
    </i>
    <i r="2">
      <x v="73"/>
    </i>
    <i r="1">
      <x v="14"/>
      <x v="51"/>
    </i>
    <i r="1">
      <x v="15"/>
      <x v="10"/>
    </i>
    <i r="2">
      <x v="53"/>
    </i>
    <i r="2">
      <x v="63"/>
    </i>
    <i r="2">
      <x v="89"/>
    </i>
    <i r="1">
      <x v="19"/>
      <x v="57"/>
    </i>
    <i t="blank">
      <x v="39"/>
    </i>
    <i>
      <x v="40"/>
    </i>
    <i r="1">
      <x/>
      <x v="82"/>
    </i>
    <i r="1">
      <x v="1"/>
      <x v="81"/>
    </i>
    <i r="1">
      <x v="2"/>
      <x v="2"/>
    </i>
    <i r="1">
      <x v="3"/>
      <x v="11"/>
    </i>
    <i r="2">
      <x v="63"/>
    </i>
    <i r="1">
      <x v="5"/>
      <x v="95"/>
    </i>
    <i r="1">
      <x v="6"/>
      <x v="76"/>
    </i>
    <i r="1">
      <x v="7"/>
      <x v="74"/>
    </i>
    <i r="1">
      <x v="8"/>
      <x/>
    </i>
    <i r="1">
      <x v="9"/>
      <x v="46"/>
    </i>
    <i r="1">
      <x v="10"/>
      <x v="47"/>
    </i>
    <i r="1">
      <x v="11"/>
      <x v="34"/>
    </i>
    <i r="2">
      <x v="57"/>
    </i>
    <i r="1">
      <x v="13"/>
      <x v="51"/>
    </i>
    <i r="1">
      <x v="14"/>
      <x v="89"/>
    </i>
    <i r="1">
      <x v="15"/>
      <x v="4"/>
    </i>
    <i r="2">
      <x v="53"/>
    </i>
    <i r="1">
      <x v="17"/>
      <x v="1"/>
    </i>
    <i r="1">
      <x v="18"/>
      <x v="44"/>
    </i>
    <i r="2">
      <x v="73"/>
    </i>
    <i t="blank">
      <x v="40"/>
    </i>
    <i>
      <x v="41"/>
    </i>
    <i r="1">
      <x/>
      <x v="81"/>
    </i>
    <i r="1">
      <x v="1"/>
      <x v="82"/>
    </i>
    <i r="1">
      <x v="2"/>
      <x/>
    </i>
    <i r="1">
      <x v="3"/>
      <x v="74"/>
    </i>
    <i r="2">
      <x v="95"/>
    </i>
    <i r="1">
      <x v="5"/>
      <x v="2"/>
    </i>
    <i r="1">
      <x v="6"/>
      <x v="76"/>
    </i>
    <i r="1">
      <x v="7"/>
      <x v="11"/>
    </i>
    <i r="1">
      <x v="8"/>
      <x v="1"/>
    </i>
    <i r="1">
      <x v="9"/>
      <x v="63"/>
    </i>
    <i r="1">
      <x v="10"/>
      <x v="47"/>
    </i>
    <i r="1">
      <x v="11"/>
      <x v="89"/>
    </i>
    <i r="1">
      <x v="12"/>
      <x v="46"/>
    </i>
    <i r="2">
      <x v="53"/>
    </i>
    <i r="1">
      <x v="14"/>
      <x v="13"/>
    </i>
    <i r="1">
      <x v="15"/>
      <x v="57"/>
    </i>
    <i r="2">
      <x v="88"/>
    </i>
    <i r="1">
      <x v="17"/>
      <x v="23"/>
    </i>
    <i r="2">
      <x v="51"/>
    </i>
    <i r="1">
      <x v="19"/>
      <x v="3"/>
    </i>
    <i r="2">
      <x v="4"/>
    </i>
    <i r="2">
      <x v="5"/>
    </i>
    <i r="2">
      <x v="9"/>
    </i>
    <i r="2">
      <x v="39"/>
    </i>
    <i r="2">
      <x v="70"/>
    </i>
    <i r="2">
      <x v="80"/>
    </i>
    <i t="blank">
      <x v="41"/>
    </i>
    <i>
      <x v="42"/>
    </i>
    <i r="1">
      <x/>
      <x v="82"/>
    </i>
    <i r="1">
      <x v="1"/>
      <x v="81"/>
    </i>
    <i r="1">
      <x v="2"/>
      <x v="63"/>
    </i>
    <i r="1">
      <x v="3"/>
      <x v="2"/>
    </i>
    <i r="1">
      <x v="4"/>
      <x v="74"/>
    </i>
    <i r="1">
      <x v="5"/>
      <x/>
    </i>
    <i r="2">
      <x v="11"/>
    </i>
    <i r="2">
      <x v="13"/>
    </i>
    <i r="1">
      <x v="8"/>
      <x v="57"/>
    </i>
    <i r="1">
      <x v="9"/>
      <x v="85"/>
    </i>
    <i r="1">
      <x v="10"/>
      <x v="46"/>
    </i>
    <i r="2">
      <x v="51"/>
    </i>
    <i r="2">
      <x v="76"/>
    </i>
    <i r="1">
      <x v="13"/>
      <x v="89"/>
    </i>
    <i r="1">
      <x v="14"/>
      <x v="95"/>
    </i>
    <i r="1">
      <x v="15"/>
      <x v="8"/>
    </i>
    <i r="2">
      <x v="45"/>
    </i>
    <i r="1">
      <x v="17"/>
      <x v="1"/>
    </i>
    <i r="2">
      <x v="53"/>
    </i>
    <i r="2">
      <x v="55"/>
    </i>
    <i t="blank">
      <x v="42"/>
    </i>
    <i>
      <x v="43"/>
    </i>
    <i r="1">
      <x/>
      <x v="82"/>
    </i>
    <i r="1">
      <x v="1"/>
      <x v="63"/>
    </i>
    <i r="1">
      <x v="2"/>
      <x v="76"/>
    </i>
    <i r="1">
      <x v="3"/>
      <x v="81"/>
    </i>
    <i r="1">
      <x v="4"/>
      <x/>
    </i>
    <i r="2">
      <x v="64"/>
    </i>
    <i r="2">
      <x v="89"/>
    </i>
    <i r="1">
      <x v="7"/>
      <x v="74"/>
    </i>
    <i r="1">
      <x v="8"/>
      <x v="13"/>
    </i>
    <i r="2">
      <x v="47"/>
    </i>
    <i r="1">
      <x v="10"/>
      <x v="87"/>
    </i>
    <i r="1">
      <x v="11"/>
      <x v="95"/>
    </i>
    <i r="1">
      <x v="12"/>
      <x v="1"/>
    </i>
    <i r="2">
      <x v="11"/>
    </i>
    <i r="1">
      <x v="14"/>
      <x v="2"/>
    </i>
    <i r="1">
      <x v="15"/>
      <x v="51"/>
    </i>
    <i r="1">
      <x v="16"/>
      <x v="46"/>
    </i>
    <i r="2">
      <x v="60"/>
    </i>
    <i r="2">
      <x v="61"/>
    </i>
    <i r="1">
      <x v="19"/>
      <x v="69"/>
    </i>
    <i r="2">
      <x v="83"/>
    </i>
    <i r="2">
      <x v="84"/>
    </i>
    <i t="blank">
      <x v="43"/>
    </i>
    <i>
      <x v="44"/>
    </i>
    <i r="1">
      <x/>
      <x v="81"/>
    </i>
    <i r="1">
      <x v="1"/>
      <x v="63"/>
    </i>
    <i r="1">
      <x v="2"/>
      <x v="39"/>
    </i>
    <i r="2">
      <x v="74"/>
    </i>
    <i r="2">
      <x v="82"/>
    </i>
    <i r="1">
      <x v="5"/>
      <x v="47"/>
    </i>
    <i r="1">
      <x v="6"/>
      <x v="40"/>
    </i>
    <i r="1">
      <x v="7"/>
      <x v="38"/>
    </i>
    <i r="2">
      <x v="64"/>
    </i>
    <i r="1">
      <x v="9"/>
      <x v="55"/>
    </i>
    <i r="1">
      <x v="10"/>
      <x v="76"/>
    </i>
    <i r="2">
      <x v="89"/>
    </i>
    <i r="1">
      <x v="12"/>
      <x v="57"/>
    </i>
    <i r="1">
      <x v="13"/>
      <x v="87"/>
    </i>
    <i r="1">
      <x v="14"/>
      <x v="2"/>
    </i>
    <i r="2">
      <x v="51"/>
    </i>
    <i r="1">
      <x v="16"/>
      <x v="36"/>
    </i>
    <i r="2">
      <x v="48"/>
    </i>
    <i r="2">
      <x v="50"/>
    </i>
    <i r="2">
      <x v="56"/>
    </i>
    <i r="2">
      <x v="61"/>
    </i>
    <i r="2">
      <x v="73"/>
    </i>
    <i r="2">
      <x v="80"/>
    </i>
    <i r="2">
      <x v="86"/>
    </i>
    <i r="2">
      <x v="91"/>
    </i>
    <i r="2">
      <x v="95"/>
    </i>
    <i t="blank">
      <x v="44"/>
    </i>
    <i>
      <x v="45"/>
    </i>
    <i r="1">
      <x/>
      <x v="81"/>
    </i>
    <i r="2">
      <x v="82"/>
    </i>
    <i r="1">
      <x v="2"/>
      <x v="89"/>
    </i>
    <i r="2">
      <x v="95"/>
    </i>
    <i r="1">
      <x v="4"/>
      <x v="1"/>
    </i>
    <i r="1">
      <x v="5"/>
      <x v="2"/>
    </i>
    <i r="2">
      <x v="45"/>
    </i>
    <i r="2">
      <x v="76"/>
    </i>
    <i r="1">
      <x v="8"/>
      <x/>
    </i>
    <i r="2">
      <x v="11"/>
    </i>
    <i r="2">
      <x v="70"/>
    </i>
    <i r="1">
      <x v="11"/>
      <x v="10"/>
    </i>
    <i r="2">
      <x v="13"/>
    </i>
    <i r="2">
      <x v="58"/>
    </i>
    <i r="2">
      <x v="63"/>
    </i>
    <i r="2">
      <x v="69"/>
    </i>
    <i r="1">
      <x v="16"/>
      <x v="32"/>
    </i>
    <i r="2">
      <x v="46"/>
    </i>
    <i r="2">
      <x v="52"/>
    </i>
    <i r="2">
      <x v="57"/>
    </i>
    <i r="2">
      <x v="59"/>
    </i>
    <i r="2">
      <x v="74"/>
    </i>
    <i r="2">
      <x v="84"/>
    </i>
    <i r="2">
      <x v="87"/>
    </i>
    <i t="blank">
      <x v="45"/>
    </i>
    <i>
      <x v="46"/>
    </i>
    <i r="1">
      <x/>
      <x v="2"/>
    </i>
    <i r="2">
      <x v="81"/>
    </i>
    <i r="1">
      <x v="2"/>
      <x v="82"/>
    </i>
    <i r="2">
      <x v="87"/>
    </i>
    <i r="2">
      <x v="95"/>
    </i>
    <i r="1">
      <x v="5"/>
      <x/>
    </i>
    <i r="2">
      <x v="46"/>
    </i>
    <i r="2">
      <x v="74"/>
    </i>
    <i r="1">
      <x v="8"/>
      <x v="23"/>
    </i>
    <i r="2">
      <x v="44"/>
    </i>
    <i r="2">
      <x v="45"/>
    </i>
    <i r="2">
      <x v="57"/>
    </i>
    <i r="2">
      <x v="80"/>
    </i>
    <i r="2">
      <x v="89"/>
    </i>
    <i r="1">
      <x v="14"/>
      <x v="1"/>
    </i>
    <i r="2">
      <x v="10"/>
    </i>
    <i r="2">
      <x v="11"/>
    </i>
    <i r="2">
      <x v="16"/>
    </i>
    <i r="2">
      <x v="27"/>
    </i>
    <i r="2">
      <x v="33"/>
    </i>
    <i r="2">
      <x v="49"/>
    </i>
    <i r="2">
      <x v="53"/>
    </i>
    <i r="2">
      <x v="63"/>
    </i>
    <i r="2">
      <x v="76"/>
    </i>
    <i r="2">
      <x v="90"/>
    </i>
    <i r="2">
      <x v="91"/>
    </i>
    <i t="blank">
      <x v="46"/>
    </i>
    <i>
      <x v="47"/>
    </i>
    <i r="1">
      <x/>
      <x v="81"/>
    </i>
    <i r="1">
      <x v="1"/>
      <x v="82"/>
    </i>
    <i r="1">
      <x v="2"/>
      <x v="2"/>
    </i>
    <i r="2">
      <x v="63"/>
    </i>
    <i r="1">
      <x v="4"/>
      <x/>
    </i>
    <i r="1">
      <x v="5"/>
      <x v="95"/>
    </i>
    <i r="1">
      <x v="6"/>
      <x v="46"/>
    </i>
    <i r="1">
      <x v="7"/>
      <x v="4"/>
    </i>
    <i r="1">
      <x v="8"/>
      <x v="47"/>
    </i>
    <i r="2">
      <x v="53"/>
    </i>
    <i r="1">
      <x v="10"/>
      <x v="76"/>
    </i>
    <i r="1">
      <x v="11"/>
      <x v="11"/>
    </i>
    <i r="2">
      <x v="74"/>
    </i>
    <i r="1">
      <x v="13"/>
      <x v="73"/>
    </i>
    <i r="2">
      <x v="89"/>
    </i>
    <i r="1">
      <x v="15"/>
      <x v="13"/>
    </i>
    <i r="2">
      <x v="37"/>
    </i>
    <i r="2">
      <x v="45"/>
    </i>
    <i r="1">
      <x v="18"/>
      <x v="1"/>
    </i>
    <i r="2">
      <x v="5"/>
    </i>
    <i r="2">
      <x v="6"/>
    </i>
    <i r="2">
      <x v="39"/>
    </i>
    <i r="2">
      <x v="44"/>
    </i>
    <i r="2">
      <x v="57"/>
    </i>
    <i r="2">
      <x v="61"/>
    </i>
    <i r="2">
      <x v="67"/>
    </i>
    <i r="2">
      <x v="80"/>
    </i>
    <i t="blank">
      <x v="47"/>
    </i>
    <i>
      <x v="48"/>
    </i>
    <i r="1">
      <x/>
      <x v="20"/>
    </i>
    <i r="1">
      <x v="1"/>
      <x v="81"/>
    </i>
    <i r="1">
      <x v="2"/>
      <x v="82"/>
    </i>
    <i r="1">
      <x v="3"/>
      <x v="2"/>
    </i>
    <i r="1">
      <x v="4"/>
      <x v="53"/>
    </i>
    <i r="2">
      <x v="95"/>
    </i>
    <i r="1">
      <x v="6"/>
      <x v="76"/>
    </i>
    <i r="1">
      <x v="7"/>
      <x v="46"/>
    </i>
    <i r="1">
      <x v="8"/>
      <x v="89"/>
    </i>
    <i r="1">
      <x v="9"/>
      <x v="39"/>
    </i>
    <i r="2">
      <x v="47"/>
    </i>
    <i r="1">
      <x v="11"/>
      <x/>
    </i>
    <i r="2">
      <x v="1"/>
    </i>
    <i r="2">
      <x v="4"/>
    </i>
    <i r="2">
      <x v="11"/>
    </i>
    <i r="2">
      <x v="13"/>
    </i>
    <i r="2">
      <x v="45"/>
    </i>
    <i r="2">
      <x v="73"/>
    </i>
    <i r="2">
      <x v="74"/>
    </i>
    <i r="1">
      <x v="19"/>
      <x v="49"/>
    </i>
    <i r="2">
      <x v="57"/>
    </i>
    <i r="2">
      <x v="80"/>
    </i>
    <i t="blank">
      <x v="48"/>
    </i>
    <i>
      <x v="49"/>
    </i>
    <i r="1">
      <x/>
      <x v="82"/>
    </i>
    <i r="1">
      <x v="1"/>
      <x v="15"/>
    </i>
    <i r="1">
      <x v="2"/>
      <x v="11"/>
    </i>
    <i r="2">
      <x v="81"/>
    </i>
    <i r="1">
      <x v="4"/>
      <x v="95"/>
    </i>
    <i r="1">
      <x v="5"/>
      <x v="2"/>
    </i>
    <i r="2">
      <x v="73"/>
    </i>
    <i r="1">
      <x v="7"/>
      <x v="74"/>
    </i>
    <i r="1">
      <x v="8"/>
      <x/>
    </i>
    <i r="1">
      <x v="9"/>
      <x v="3"/>
    </i>
    <i r="2">
      <x v="57"/>
    </i>
    <i r="1">
      <x v="11"/>
      <x v="55"/>
    </i>
    <i r="2">
      <x v="76"/>
    </i>
    <i r="1">
      <x v="13"/>
      <x v="1"/>
    </i>
    <i r="2">
      <x v="13"/>
    </i>
    <i r="2">
      <x v="71"/>
    </i>
    <i r="2">
      <x v="78"/>
    </i>
    <i r="2">
      <x v="83"/>
    </i>
    <i r="1">
      <x v="18"/>
      <x v="4"/>
    </i>
    <i r="2">
      <x v="5"/>
    </i>
    <i r="2">
      <x v="89"/>
    </i>
    <i t="blank">
      <x v="49"/>
    </i>
    <i>
      <x v="50"/>
    </i>
    <i r="1">
      <x/>
      <x v="95"/>
    </i>
    <i r="1">
      <x v="1"/>
      <x v="2"/>
    </i>
    <i r="2">
      <x v="30"/>
    </i>
    <i r="1">
      <x v="3"/>
      <x v="73"/>
    </i>
    <i r="1">
      <x v="4"/>
      <x/>
    </i>
    <i r="2">
      <x v="81"/>
    </i>
    <i r="2">
      <x v="82"/>
    </i>
    <i r="1">
      <x v="7"/>
      <x v="1"/>
    </i>
    <i r="2">
      <x v="31"/>
    </i>
    <i r="2">
      <x v="74"/>
    </i>
    <i r="1">
      <x v="10"/>
      <x v="23"/>
    </i>
    <i r="2">
      <x v="45"/>
    </i>
    <i r="1">
      <x v="12"/>
      <x v="29"/>
    </i>
    <i r="2">
      <x v="46"/>
    </i>
    <i r="2">
      <x v="52"/>
    </i>
    <i r="2">
      <x v="53"/>
    </i>
    <i r="2">
      <x v="57"/>
    </i>
    <i r="2">
      <x v="62"/>
    </i>
    <i r="2">
      <x v="65"/>
    </i>
    <i r="2">
      <x v="70"/>
    </i>
    <i t="blank">
      <x v="50"/>
    </i>
    <i>
      <x v="51"/>
    </i>
    <i r="1">
      <x/>
      <x v="82"/>
    </i>
    <i r="1">
      <x v="1"/>
      <x v="81"/>
    </i>
    <i r="1">
      <x v="2"/>
      <x v="74"/>
    </i>
    <i r="1">
      <x v="3"/>
      <x v="2"/>
    </i>
    <i r="1">
      <x v="4"/>
      <x/>
    </i>
    <i r="1">
      <x v="5"/>
      <x v="95"/>
    </i>
    <i r="1">
      <x v="6"/>
      <x v="4"/>
    </i>
    <i r="1">
      <x v="7"/>
      <x v="11"/>
    </i>
    <i r="1">
      <x v="8"/>
      <x v="5"/>
    </i>
    <i r="2">
      <x v="63"/>
    </i>
    <i r="1">
      <x v="10"/>
      <x v="47"/>
    </i>
    <i r="2">
      <x v="57"/>
    </i>
    <i r="1">
      <x v="12"/>
      <x v="13"/>
    </i>
    <i r="2">
      <x v="76"/>
    </i>
    <i r="1">
      <x v="14"/>
      <x v="1"/>
    </i>
    <i r="2">
      <x v="46"/>
    </i>
    <i r="2">
      <x v="48"/>
    </i>
    <i r="2">
      <x v="71"/>
    </i>
    <i r="2">
      <x v="73"/>
    </i>
    <i r="2">
      <x v="89"/>
    </i>
    <i t="blank">
      <x v="51"/>
    </i>
    <i>
      <x v="52"/>
    </i>
    <i r="1">
      <x/>
      <x v="82"/>
    </i>
    <i r="1">
      <x v="1"/>
      <x v="74"/>
    </i>
    <i r="1">
      <x v="2"/>
      <x v="81"/>
    </i>
    <i r="1">
      <x v="3"/>
      <x v="78"/>
    </i>
    <i r="1">
      <x v="4"/>
      <x v="95"/>
    </i>
    <i r="1">
      <x v="5"/>
      <x v="55"/>
    </i>
    <i r="2">
      <x v="89"/>
    </i>
    <i r="1">
      <x v="7"/>
      <x v="57"/>
    </i>
    <i r="1">
      <x v="8"/>
      <x v="46"/>
    </i>
    <i r="1">
      <x v="9"/>
      <x v="13"/>
    </i>
    <i r="2">
      <x v="51"/>
    </i>
    <i r="2">
      <x v="73"/>
    </i>
    <i r="1">
      <x v="12"/>
      <x v="2"/>
    </i>
    <i r="2">
      <x v="10"/>
    </i>
    <i r="2">
      <x v="47"/>
    </i>
    <i r="2">
      <x v="63"/>
    </i>
    <i r="2">
      <x v="76"/>
    </i>
    <i r="1">
      <x v="17"/>
      <x/>
    </i>
    <i r="2">
      <x v="3"/>
    </i>
    <i r="2">
      <x v="45"/>
    </i>
    <i r="2">
      <x v="79"/>
    </i>
    <i r="2">
      <x v="80"/>
    </i>
    <i r="2">
      <x v="88"/>
    </i>
    <i t="blank">
      <x v="52"/>
    </i>
    <i>
      <x v="53"/>
    </i>
    <i r="1">
      <x/>
      <x v="82"/>
    </i>
    <i r="1">
      <x v="1"/>
      <x v="2"/>
    </i>
    <i r="1">
      <x v="2"/>
      <x v="81"/>
    </i>
    <i r="1">
      <x v="3"/>
      <x v="13"/>
    </i>
    <i r="1">
      <x v="4"/>
      <x/>
    </i>
    <i r="2">
      <x v="76"/>
    </i>
    <i r="2">
      <x v="95"/>
    </i>
    <i r="1">
      <x v="7"/>
      <x v="4"/>
    </i>
    <i r="2">
      <x v="5"/>
    </i>
    <i r="1">
      <x v="9"/>
      <x v="11"/>
    </i>
    <i r="2">
      <x v="32"/>
    </i>
    <i r="2">
      <x v="41"/>
    </i>
    <i r="2">
      <x v="46"/>
    </i>
    <i r="2">
      <x v="49"/>
    </i>
    <i r="2">
      <x v="87"/>
    </i>
    <i r="1">
      <x v="15"/>
      <x v="1"/>
    </i>
    <i r="2">
      <x v="10"/>
    </i>
    <i r="2">
      <x v="21"/>
    </i>
    <i r="2">
      <x v="26"/>
    </i>
    <i r="2">
      <x v="43"/>
    </i>
    <i r="2">
      <x v="45"/>
    </i>
    <i r="2">
      <x v="57"/>
    </i>
    <i r="2">
      <x v="70"/>
    </i>
    <i t="blank">
      <x v="53"/>
    </i>
    <i>
      <x v="54"/>
    </i>
    <i r="1">
      <x/>
      <x v="95"/>
    </i>
    <i r="1">
      <x v="1"/>
      <x/>
    </i>
    <i r="1">
      <x v="2"/>
      <x v="82"/>
    </i>
    <i r="1">
      <x v="3"/>
      <x v="76"/>
    </i>
    <i r="1">
      <x v="4"/>
      <x v="11"/>
    </i>
    <i r="1">
      <x v="5"/>
      <x v="74"/>
    </i>
    <i r="2">
      <x v="81"/>
    </i>
    <i r="1">
      <x v="7"/>
      <x v="2"/>
    </i>
    <i r="1">
      <x v="8"/>
      <x v="3"/>
    </i>
    <i r="2">
      <x v="61"/>
    </i>
    <i r="2">
      <x v="71"/>
    </i>
    <i r="2">
      <x v="86"/>
    </i>
    <i r="1">
      <x v="12"/>
      <x v="8"/>
    </i>
    <i r="2">
      <x v="13"/>
    </i>
    <i r="2">
      <x v="89"/>
    </i>
    <i r="1">
      <x v="15"/>
      <x v="4"/>
    </i>
    <i r="2">
      <x v="47"/>
    </i>
    <i r="2">
      <x v="48"/>
    </i>
    <i r="1">
      <x v="18"/>
      <x v="7"/>
    </i>
    <i r="2">
      <x v="9"/>
    </i>
    <i r="2">
      <x v="35"/>
    </i>
    <i r="2">
      <x v="39"/>
    </i>
    <i r="2">
      <x v="42"/>
    </i>
    <i r="2">
      <x v="46"/>
    </i>
    <i r="2">
      <x v="87"/>
    </i>
    <i r="2">
      <x v="88"/>
    </i>
    <i t="blank">
      <x v="54"/>
    </i>
    <i>
      <x v="55"/>
    </i>
    <i r="1">
      <x/>
      <x v="82"/>
    </i>
    <i r="1">
      <x v="1"/>
      <x v="81"/>
    </i>
    <i r="1">
      <x v="2"/>
      <x v="74"/>
    </i>
    <i r="1">
      <x v="3"/>
      <x v="71"/>
    </i>
    <i r="1">
      <x v="4"/>
      <x v="47"/>
    </i>
    <i r="1">
      <x v="5"/>
      <x/>
    </i>
    <i r="2">
      <x v="80"/>
    </i>
    <i r="1">
      <x v="7"/>
      <x v="2"/>
    </i>
    <i r="2">
      <x v="8"/>
    </i>
    <i r="2">
      <x v="11"/>
    </i>
    <i r="2">
      <x v="13"/>
    </i>
    <i r="2">
      <x v="46"/>
    </i>
    <i r="2">
      <x v="76"/>
    </i>
    <i r="1">
      <x v="13"/>
      <x v="1"/>
    </i>
    <i r="2">
      <x v="57"/>
    </i>
    <i r="2">
      <x v="95"/>
    </i>
    <i r="1">
      <x v="16"/>
      <x v="4"/>
    </i>
    <i r="2">
      <x v="5"/>
    </i>
    <i r="2">
      <x v="10"/>
    </i>
    <i r="2">
      <x v="15"/>
    </i>
    <i r="2">
      <x v="17"/>
    </i>
    <i r="2">
      <x v="23"/>
    </i>
    <i r="2">
      <x v="39"/>
    </i>
    <i r="2">
      <x v="48"/>
    </i>
    <i r="2">
      <x v="53"/>
    </i>
    <i r="2">
      <x v="77"/>
    </i>
    <i r="2">
      <x v="89"/>
    </i>
    <i r="2">
      <x v="96"/>
    </i>
    <i t="blank">
      <x v="55"/>
    </i>
    <i>
      <x v="56"/>
    </i>
    <i r="1">
      <x/>
      <x v="73"/>
    </i>
    <i r="1">
      <x v="1"/>
      <x/>
    </i>
    <i r="1">
      <x v="2"/>
      <x v="13"/>
    </i>
    <i r="2">
      <x v="81"/>
    </i>
    <i r="2">
      <x v="82"/>
    </i>
    <i r="2">
      <x v="95"/>
    </i>
    <i r="1">
      <x v="6"/>
      <x v="2"/>
    </i>
    <i r="1">
      <x v="7"/>
      <x v="1"/>
    </i>
    <i r="2">
      <x v="11"/>
    </i>
    <i r="2">
      <x v="23"/>
    </i>
    <i r="2">
      <x v="24"/>
    </i>
    <i r="2">
      <x v="47"/>
    </i>
    <i r="2">
      <x v="57"/>
    </i>
    <i r="2">
      <x v="63"/>
    </i>
    <i r="2">
      <x v="76"/>
    </i>
    <i r="2">
      <x v="96"/>
    </i>
    <i r="1">
      <x v="16"/>
      <x v="3"/>
    </i>
    <i r="2">
      <x v="4"/>
    </i>
    <i r="2">
      <x v="12"/>
    </i>
    <i r="2">
      <x v="18"/>
    </i>
    <i r="2">
      <x v="19"/>
    </i>
    <i r="2">
      <x v="22"/>
    </i>
    <i r="2">
      <x v="25"/>
    </i>
    <i r="2">
      <x v="26"/>
    </i>
    <i r="2">
      <x v="41"/>
    </i>
    <i r="2">
      <x v="45"/>
    </i>
    <i r="2">
      <x v="46"/>
    </i>
    <i r="2">
      <x v="51"/>
    </i>
    <i r="2">
      <x v="53"/>
    </i>
    <i r="2">
      <x v="60"/>
    </i>
    <i r="2">
      <x v="62"/>
    </i>
    <i r="2">
      <x v="78"/>
    </i>
    <i r="2">
      <x v="87"/>
    </i>
    <i r="2">
      <x v="93"/>
    </i>
    <i r="2">
      <x v="94"/>
    </i>
    <i t="blank">
      <x v="56"/>
    </i>
    <i>
      <x v="57"/>
    </i>
    <i r="1">
      <x/>
      <x v="82"/>
    </i>
    <i r="1">
      <x v="1"/>
      <x v="81"/>
    </i>
    <i r="2">
      <x v="95"/>
    </i>
    <i r="1">
      <x v="3"/>
      <x v="2"/>
    </i>
    <i r="1">
      <x v="4"/>
      <x v="78"/>
    </i>
    <i r="1">
      <x v="5"/>
      <x/>
    </i>
    <i r="2">
      <x v="76"/>
    </i>
    <i r="1">
      <x v="7"/>
      <x v="4"/>
    </i>
    <i r="2">
      <x v="74"/>
    </i>
    <i r="1">
      <x v="9"/>
      <x v="41"/>
    </i>
    <i r="2">
      <x v="46"/>
    </i>
    <i r="1">
      <x v="11"/>
      <x v="1"/>
    </i>
    <i r="2">
      <x v="3"/>
    </i>
    <i r="2">
      <x v="7"/>
    </i>
    <i r="2">
      <x v="10"/>
    </i>
    <i r="2">
      <x v="11"/>
    </i>
    <i r="2">
      <x v="13"/>
    </i>
    <i r="2">
      <x v="43"/>
    </i>
    <i r="2">
      <x v="44"/>
    </i>
    <i r="2">
      <x v="48"/>
    </i>
    <i r="2">
      <x v="73"/>
    </i>
    <i r="2">
      <x v="88"/>
    </i>
    <i t="blank">
      <x v="57"/>
    </i>
    <i>
      <x v="58"/>
    </i>
    <i r="1">
      <x/>
      <x v="74"/>
    </i>
    <i r="2">
      <x v="81"/>
    </i>
    <i r="1">
      <x v="2"/>
      <x v="57"/>
    </i>
    <i r="1">
      <x v="3"/>
      <x v="82"/>
    </i>
    <i r="1">
      <x v="4"/>
      <x v="73"/>
    </i>
    <i r="1">
      <x v="5"/>
      <x v="1"/>
    </i>
    <i r="2">
      <x v="95"/>
    </i>
    <i r="1">
      <x v="7"/>
      <x v="7"/>
    </i>
    <i r="2">
      <x v="11"/>
    </i>
    <i r="2">
      <x v="47"/>
    </i>
    <i r="2">
      <x v="53"/>
    </i>
    <i r="1">
      <x v="11"/>
      <x/>
    </i>
    <i r="2">
      <x v="18"/>
    </i>
    <i r="2">
      <x v="44"/>
    </i>
    <i r="2">
      <x v="76"/>
    </i>
    <i r="2">
      <x v="78"/>
    </i>
    <i r="1">
      <x v="16"/>
      <x v="2"/>
    </i>
    <i r="2">
      <x v="13"/>
    </i>
    <i r="2">
      <x v="63"/>
    </i>
    <i r="2">
      <x v="80"/>
    </i>
    <i t="blank">
      <x v="58"/>
    </i>
    <i>
      <x v="59"/>
    </i>
    <i r="1">
      <x/>
      <x v="71"/>
    </i>
    <i r="1">
      <x v="1"/>
      <x v="74"/>
    </i>
    <i r="1">
      <x v="2"/>
      <x v="82"/>
    </i>
    <i r="1">
      <x v="3"/>
      <x v="81"/>
    </i>
    <i r="1">
      <x v="4"/>
      <x v="63"/>
    </i>
    <i r="2">
      <x v="85"/>
    </i>
    <i r="1">
      <x v="6"/>
      <x v="2"/>
    </i>
    <i r="2">
      <x v="55"/>
    </i>
    <i r="1">
      <x v="8"/>
      <x/>
    </i>
    <i r="2">
      <x v="32"/>
    </i>
    <i r="2">
      <x v="44"/>
    </i>
    <i r="2">
      <x v="47"/>
    </i>
    <i r="2">
      <x v="48"/>
    </i>
    <i r="2">
      <x v="78"/>
    </i>
    <i r="2">
      <x v="95"/>
    </i>
    <i r="1">
      <x v="15"/>
      <x v="1"/>
    </i>
    <i r="2">
      <x v="3"/>
    </i>
    <i r="2">
      <x v="11"/>
    </i>
    <i r="2">
      <x v="13"/>
    </i>
    <i r="2">
      <x v="43"/>
    </i>
    <i r="2">
      <x v="46"/>
    </i>
    <i r="2">
      <x v="53"/>
    </i>
    <i r="2">
      <x v="65"/>
    </i>
    <i r="2">
      <x v="72"/>
    </i>
    <i r="2">
      <x v="73"/>
    </i>
    <i r="2">
      <x v="75"/>
    </i>
    <i r="2">
      <x v="80"/>
    </i>
    <i r="2">
      <x v="87"/>
    </i>
    <i r="2">
      <x v="88"/>
    </i>
    <i r="2">
      <x v="89"/>
    </i>
    <i t="blank">
      <x v="59"/>
    </i>
    <i>
      <x v="60"/>
    </i>
    <i r="1">
      <x/>
      <x v="74"/>
    </i>
    <i r="2">
      <x v="82"/>
    </i>
    <i r="1">
      <x v="2"/>
      <x v="81"/>
    </i>
    <i r="1">
      <x v="3"/>
      <x v="2"/>
    </i>
    <i r="2">
      <x v="45"/>
    </i>
    <i r="2">
      <x v="46"/>
    </i>
    <i r="2">
      <x v="78"/>
    </i>
    <i r="1">
      <x v="7"/>
      <x v="44"/>
    </i>
    <i r="1">
      <x v="8"/>
      <x v="8"/>
    </i>
    <i r="2">
      <x v="32"/>
    </i>
    <i r="2">
      <x v="34"/>
    </i>
    <i r="2">
      <x v="57"/>
    </i>
    <i r="2">
      <x v="71"/>
    </i>
    <i r="2">
      <x v="91"/>
    </i>
    <i r="2">
      <x v="95"/>
    </i>
    <i r="1">
      <x v="15"/>
      <x v="1"/>
    </i>
    <i r="2">
      <x v="7"/>
    </i>
    <i r="2">
      <x v="39"/>
    </i>
    <i r="2">
      <x v="42"/>
    </i>
    <i r="2">
      <x v="54"/>
    </i>
    <i r="2">
      <x v="73"/>
    </i>
    <i r="2">
      <x v="75"/>
    </i>
    <i r="2">
      <x v="76"/>
    </i>
    <i r="2">
      <x v="77"/>
    </i>
    <i r="2">
      <x v="85"/>
    </i>
    <i t="blank">
      <x v="6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870">
      <pivotArea field="2" type="button" dataOnly="0" labelOnly="1" outline="0" axis="axisRow" fieldPosition="0"/>
    </format>
    <format dxfId="869">
      <pivotArea outline="0" fieldPosition="0">
        <references count="1">
          <reference field="4294967294" count="1">
            <x v="0"/>
          </reference>
        </references>
      </pivotArea>
    </format>
    <format dxfId="868">
      <pivotArea outline="0" fieldPosition="0">
        <references count="1">
          <reference field="4294967294" count="1">
            <x v="1"/>
          </reference>
        </references>
      </pivotArea>
    </format>
    <format dxfId="867">
      <pivotArea outline="0" fieldPosition="0">
        <references count="1">
          <reference field="4294967294" count="1">
            <x v="2"/>
          </reference>
        </references>
      </pivotArea>
    </format>
    <format dxfId="866">
      <pivotArea outline="0" fieldPosition="0">
        <references count="1">
          <reference field="4294967294" count="1">
            <x v="3"/>
          </reference>
        </references>
      </pivotArea>
    </format>
    <format dxfId="865">
      <pivotArea outline="0" fieldPosition="0">
        <references count="1">
          <reference field="4294967294" count="1">
            <x v="4"/>
          </reference>
        </references>
      </pivotArea>
    </format>
    <format dxfId="864">
      <pivotArea outline="0" fieldPosition="0">
        <references count="1">
          <reference field="4294967294" count="1">
            <x v="5"/>
          </reference>
        </references>
      </pivotArea>
    </format>
    <format dxfId="863">
      <pivotArea outline="0" fieldPosition="0">
        <references count="1">
          <reference field="4294967294" count="1">
            <x v="6"/>
          </reference>
        </references>
      </pivotArea>
    </format>
    <format dxfId="862">
      <pivotArea field="2" type="button" dataOnly="0" labelOnly="1" outline="0" axis="axisRow" fieldPosition="0"/>
    </format>
    <format dxfId="86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60">
      <pivotArea field="2" type="button" dataOnly="0" labelOnly="1" outline="0" axis="axisRow" fieldPosition="0"/>
    </format>
    <format dxfId="85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58">
      <pivotArea field="2" type="button" dataOnly="0" labelOnly="1" outline="0" axis="axisRow" fieldPosition="0"/>
    </format>
    <format dxfId="85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5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54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E6AF2B-EA31-49B2-B952-258E950A19B2}" name="LTBL_12000" displayName="LTBL_12000" ref="B4:I20" totalsRowCount="1">
  <autoFilter ref="B4:I19" xr:uid="{21E6AF2B-EA31-49B2-B952-258E950A19B2}"/>
  <tableColumns count="8">
    <tableColumn id="9" xr3:uid="{86CA1E18-4633-4DC2-91A1-1103100B77A8}" name="産業大分類" totalsRowLabel="合計" totalsRowDxfId="853"/>
    <tableColumn id="10" xr3:uid="{96734AF8-C438-40C8-9D31-9D4C8FDDC719}" name="総数／事業所数" totalsRowFunction="custom" totalsRowDxfId="852" dataCellStyle="桁区切り" totalsRowCellStyle="桁区切り">
      <totalsRowFormula>SUM(LTBL_12000[総数／事業所数])</totalsRowFormula>
    </tableColumn>
    <tableColumn id="11" xr3:uid="{0810A218-75FC-424B-A517-B0EC418274B2}" name="総数／構成比" dataDxfId="851"/>
    <tableColumn id="12" xr3:uid="{03C70801-1EA2-44F7-BD0C-ACB33A4030D2}" name="個人／事業所数" totalsRowFunction="sum" totalsRowDxfId="850" dataCellStyle="桁区切り" totalsRowCellStyle="桁区切り"/>
    <tableColumn id="13" xr3:uid="{BB49CE0C-88EB-446F-9D61-DAFE6A2F14DE}" name="個人／構成比" dataDxfId="849"/>
    <tableColumn id="14" xr3:uid="{28C00566-D0AF-481C-89C5-8596E30D0722}" name="法人／事業所数" totalsRowFunction="sum" totalsRowDxfId="848" dataCellStyle="桁区切り" totalsRowCellStyle="桁区切り"/>
    <tableColumn id="15" xr3:uid="{ED59B6CE-E952-4825-8951-6870F5EC00AE}" name="法人／構成比" dataDxfId="847"/>
    <tableColumn id="16" xr3:uid="{C9F27833-F40B-4410-AEDE-A6E87132C3C6}" name="法人以外の団体／事業所数" totalsRowFunction="sum" totalsRowDxfId="846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41C177A-36A8-4EC2-B1C5-43DC7B0E0796}" name="LTBL_12102" displayName="LTBL_12102" ref="B4:I20" totalsRowCount="1">
  <autoFilter ref="B4:I19" xr:uid="{141C177A-36A8-4EC2-B1C5-43DC7B0E0796}"/>
  <tableColumns count="8">
    <tableColumn id="9" xr3:uid="{AEA35398-230D-47EF-8698-2D3EC56113E1}" name="産業大分類" totalsRowLabel="合計" totalsRowDxfId="811"/>
    <tableColumn id="10" xr3:uid="{928CBF0D-594A-467E-AF33-B8EC757E264E}" name="総数／事業所数" totalsRowFunction="custom" totalsRowDxfId="810" dataCellStyle="桁区切り" totalsRowCellStyle="桁区切り">
      <totalsRowFormula>SUM(LTBL_12102[総数／事業所数])</totalsRowFormula>
    </tableColumn>
    <tableColumn id="11" xr3:uid="{6F6D88E3-C1FA-408F-98D9-B4D50F886BFF}" name="総数／構成比" dataDxfId="809"/>
    <tableColumn id="12" xr3:uid="{B86A82A5-43AC-4670-AB4D-6D35FC225140}" name="個人／事業所数" totalsRowFunction="sum" totalsRowDxfId="808" dataCellStyle="桁区切り" totalsRowCellStyle="桁区切り"/>
    <tableColumn id="13" xr3:uid="{B2EC4D2C-F17B-454A-9612-FBDBAECEFCF9}" name="個人／構成比" dataDxfId="807"/>
    <tableColumn id="14" xr3:uid="{53451521-9113-4F11-B996-753706243798}" name="法人／事業所数" totalsRowFunction="sum" totalsRowDxfId="806" dataCellStyle="桁区切り" totalsRowCellStyle="桁区切り"/>
    <tableColumn id="15" xr3:uid="{AA190114-42EF-45AF-A235-692489AC4EA2}" name="法人／構成比" dataDxfId="805"/>
    <tableColumn id="16" xr3:uid="{5D8D5EC2-562E-4F11-86E9-F710D2ADB8D3}" name="法人以外の団体／事業所数" totalsRowFunction="sum" totalsRowDxfId="804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B6193AA8-BA36-4287-ABC3-AF684F9DFC0E}" name="LTBL_12229" displayName="LTBL_12229" ref="B4:I20" totalsRowCount="1">
  <autoFilter ref="B4:I19" xr:uid="{B6193AA8-BA36-4287-ABC3-AF684F9DFC0E}"/>
  <tableColumns count="8">
    <tableColumn id="9" xr3:uid="{B4261C08-3090-4140-895F-D4BA8DC666F4}" name="産業大分類" totalsRowLabel="合計" totalsRowDxfId="391"/>
    <tableColumn id="10" xr3:uid="{2385DBDF-7D16-49A6-B2D4-A7B1BEF68622}" name="総数／事業所数" totalsRowFunction="custom" totalsRowDxfId="390" dataCellStyle="桁区切り" totalsRowCellStyle="桁区切り">
      <totalsRowFormula>SUM(LTBL_12229[総数／事業所数])</totalsRowFormula>
    </tableColumn>
    <tableColumn id="11" xr3:uid="{9A7CE9A4-112C-4A78-99BB-05E4B0062B6D}" name="総数／構成比" dataDxfId="389"/>
    <tableColumn id="12" xr3:uid="{E1C60EFB-9B5B-4F89-B62A-894196056FD8}" name="個人／事業所数" totalsRowFunction="sum" totalsRowDxfId="388" dataCellStyle="桁区切り" totalsRowCellStyle="桁区切り"/>
    <tableColumn id="13" xr3:uid="{36E4593B-4F5D-4035-B17E-781E2A61911C}" name="個人／構成比" dataDxfId="387"/>
    <tableColumn id="14" xr3:uid="{909DD29D-708E-4999-B657-75F6C9D1DA24}" name="法人／事業所数" totalsRowFunction="sum" totalsRowDxfId="386" dataCellStyle="桁区切り" totalsRowCellStyle="桁区切り"/>
    <tableColumn id="15" xr3:uid="{C19BE677-9259-449B-AC9A-CF7E061D1D4B}" name="法人／構成比" dataDxfId="385"/>
    <tableColumn id="16" xr3:uid="{ED09C223-95E6-40DF-97F1-596304E28207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420800B7-5C08-4419-B5BE-B6532FF7186D}" name="M_TABLE_12229" displayName="M_TABLE_12229" ref="B23:I43" totalsRowShown="0">
  <autoFilter ref="B23:I43" xr:uid="{420800B7-5C08-4419-B5BE-B6532FF7186D}"/>
  <tableColumns count="8">
    <tableColumn id="9" xr3:uid="{B5ABE427-5C00-43C2-9F44-72E85993FF9A}" name="産業中分類上位２０"/>
    <tableColumn id="10" xr3:uid="{C1945CE3-5A67-4536-8C26-B29576898104}" name="総数／事業所数" dataCellStyle="桁区切り"/>
    <tableColumn id="11" xr3:uid="{DD10CE1F-CD01-43BA-B5CC-A072A791CF99}" name="総数／構成比" dataDxfId="383"/>
    <tableColumn id="12" xr3:uid="{4C5CAC12-0B4F-40AA-A087-99BA27078C50}" name="個人／事業所数" dataCellStyle="桁区切り"/>
    <tableColumn id="13" xr3:uid="{F3016F6E-A832-47CA-B82C-7399E9D4C74A}" name="個人／構成比" dataDxfId="382"/>
    <tableColumn id="14" xr3:uid="{9404FAA8-6E2B-4737-867A-2F8095896092}" name="法人／事業所数" dataCellStyle="桁区切り"/>
    <tableColumn id="15" xr3:uid="{62B3EBE0-16F9-4401-A1BC-00C6F5BCA12B}" name="法人／構成比" dataDxfId="381"/>
    <tableColumn id="16" xr3:uid="{A0B4DEF8-EFA0-4244-AADF-49638F0D04C2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862717F-BA21-4060-B799-8B7C387EB03A}" name="S_TABLE_12229" displayName="S_TABLE_12229" ref="B46:I67" totalsRowShown="0">
  <autoFilter ref="B46:I67" xr:uid="{0862717F-BA21-4060-B799-8B7C387EB03A}"/>
  <tableColumns count="8">
    <tableColumn id="9" xr3:uid="{9FAD6613-B429-4E13-A88C-5BB41327E24B}" name="産業小分類上位２０"/>
    <tableColumn id="10" xr3:uid="{C3280991-2CC8-47B7-9109-CF8C19B33613}" name="総数／事業所数" dataCellStyle="桁区切り"/>
    <tableColumn id="11" xr3:uid="{349FBD70-1D7B-419D-96D6-18FE0978C11D}" name="総数／構成比" dataDxfId="380"/>
    <tableColumn id="12" xr3:uid="{AF6C32E4-2427-4DBF-AAE4-7830DFC81246}" name="個人／事業所数" dataCellStyle="桁区切り"/>
    <tableColumn id="13" xr3:uid="{9C83E9A1-BA15-4CBF-95C8-9F65E8EC02B7}" name="個人／構成比" dataDxfId="379"/>
    <tableColumn id="14" xr3:uid="{0853AC14-6BFB-4964-8522-F8580D6F4E49}" name="法人／事業所数" dataCellStyle="桁区切り"/>
    <tableColumn id="15" xr3:uid="{4D2E1817-88F0-459F-B80A-558CEBB05070}" name="法人／構成比" dataDxfId="378"/>
    <tableColumn id="16" xr3:uid="{C73FC057-5B30-4632-953E-ECFDBCAC89E1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7D400951-AFCD-4F12-B3C3-8FEB66431CFB}" name="LTBL_12230" displayName="LTBL_12230" ref="B4:I20" totalsRowCount="1">
  <autoFilter ref="B4:I19" xr:uid="{7D400951-AFCD-4F12-B3C3-8FEB66431CFB}"/>
  <tableColumns count="8">
    <tableColumn id="9" xr3:uid="{6C7CF0F9-1198-40E6-8AED-FD05E2D579C2}" name="産業大分類" totalsRowLabel="合計" totalsRowDxfId="377"/>
    <tableColumn id="10" xr3:uid="{EBFF6B7D-2D6B-409C-834C-7905034E5AA7}" name="総数／事業所数" totalsRowFunction="custom" totalsRowDxfId="376" dataCellStyle="桁区切り" totalsRowCellStyle="桁区切り">
      <totalsRowFormula>SUM(LTBL_12230[総数／事業所数])</totalsRowFormula>
    </tableColumn>
    <tableColumn id="11" xr3:uid="{C53F132B-99A3-4B03-9B23-D3ADE65C3622}" name="総数／構成比" dataDxfId="375"/>
    <tableColumn id="12" xr3:uid="{AFDD5ABB-B331-4A4D-9336-14FC56B7E1FA}" name="個人／事業所数" totalsRowFunction="sum" totalsRowDxfId="374" dataCellStyle="桁区切り" totalsRowCellStyle="桁区切り"/>
    <tableColumn id="13" xr3:uid="{A3E44CC9-B48C-4CC6-B927-060A95D259D4}" name="個人／構成比" dataDxfId="373"/>
    <tableColumn id="14" xr3:uid="{5FA25496-A51C-4417-8B0F-31E544657A59}" name="法人／事業所数" totalsRowFunction="sum" totalsRowDxfId="372" dataCellStyle="桁区切り" totalsRowCellStyle="桁区切り"/>
    <tableColumn id="15" xr3:uid="{1F65A58E-3873-4E18-8B81-402666C97C20}" name="法人／構成比" dataDxfId="371"/>
    <tableColumn id="16" xr3:uid="{A7B12EB4-7DC5-4F85-B659-18E2230AE47D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17240C52-80BF-4DF2-A816-C23E7C4CDC0D}" name="M_TABLE_12230" displayName="M_TABLE_12230" ref="B23:I43" totalsRowShown="0">
  <autoFilter ref="B23:I43" xr:uid="{17240C52-80BF-4DF2-A816-C23E7C4CDC0D}"/>
  <tableColumns count="8">
    <tableColumn id="9" xr3:uid="{8B065AE9-E8A6-41B8-AB2D-978EBDF8469E}" name="産業中分類上位２０"/>
    <tableColumn id="10" xr3:uid="{E5D90008-5056-4D60-8BF7-ACE6C945C304}" name="総数／事業所数" dataCellStyle="桁区切り"/>
    <tableColumn id="11" xr3:uid="{0604DD5B-EC0D-4796-92C8-927FA7F76DCA}" name="総数／構成比" dataDxfId="369"/>
    <tableColumn id="12" xr3:uid="{3478BC43-AAD1-46B7-A3E8-456FE5EACDAF}" name="個人／事業所数" dataCellStyle="桁区切り"/>
    <tableColumn id="13" xr3:uid="{B2696213-EBBA-4DA2-8D77-6ABB9DADDE60}" name="個人／構成比" dataDxfId="368"/>
    <tableColumn id="14" xr3:uid="{5F3B6CBA-B5FE-4964-8823-4689D0601219}" name="法人／事業所数" dataCellStyle="桁区切り"/>
    <tableColumn id="15" xr3:uid="{885434F5-3978-4121-9E30-7A1413D5AFBE}" name="法人／構成比" dataDxfId="367"/>
    <tableColumn id="16" xr3:uid="{67E69114-4E26-4B31-AE61-434976F63206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22E89C5D-454C-4B56-9416-DCC1F14C1C18}" name="S_TABLE_12230" displayName="S_TABLE_12230" ref="B46:I66" totalsRowShown="0">
  <autoFilter ref="B46:I66" xr:uid="{22E89C5D-454C-4B56-9416-DCC1F14C1C18}"/>
  <tableColumns count="8">
    <tableColumn id="9" xr3:uid="{29D02630-2F17-42CF-A276-B5CC8EF8B212}" name="産業小分類上位２０"/>
    <tableColumn id="10" xr3:uid="{A99E605F-1539-4DEC-86DD-15704E62F859}" name="総数／事業所数" dataCellStyle="桁区切り"/>
    <tableColumn id="11" xr3:uid="{93EC6FE5-9F28-4EF1-A21C-4C1EA5D9EB98}" name="総数／構成比" dataDxfId="366"/>
    <tableColumn id="12" xr3:uid="{5BB19DF6-ABA8-47EB-BCBD-2DFB2770BFA7}" name="個人／事業所数" dataCellStyle="桁区切り"/>
    <tableColumn id="13" xr3:uid="{564A021F-67B7-4C84-AA8E-D12319800961}" name="個人／構成比" dataDxfId="365"/>
    <tableColumn id="14" xr3:uid="{83FFEE85-C871-499A-8F2C-B5CB01F7B0BF}" name="法人／事業所数" dataCellStyle="桁区切り"/>
    <tableColumn id="15" xr3:uid="{777F7573-BDD3-4EC2-83FC-5F3600386037}" name="法人／構成比" dataDxfId="364"/>
    <tableColumn id="16" xr3:uid="{91A22A3C-000F-451A-9953-940A9BB5E69B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27F1FAA4-C975-4E67-B288-CC01729CD55F}" name="LTBL_12231" displayName="LTBL_12231" ref="B4:I20" totalsRowCount="1">
  <autoFilter ref="B4:I19" xr:uid="{27F1FAA4-C975-4E67-B288-CC01729CD55F}"/>
  <tableColumns count="8">
    <tableColumn id="9" xr3:uid="{D627A708-662D-429C-BA25-1003CEB0A988}" name="産業大分類" totalsRowLabel="合計" totalsRowDxfId="363"/>
    <tableColumn id="10" xr3:uid="{54FD5B1D-43C7-423F-BC98-8A588AB97452}" name="総数／事業所数" totalsRowFunction="custom" totalsRowDxfId="362" dataCellStyle="桁区切り" totalsRowCellStyle="桁区切り">
      <totalsRowFormula>SUM(LTBL_12231[総数／事業所数])</totalsRowFormula>
    </tableColumn>
    <tableColumn id="11" xr3:uid="{AB8C7D0D-D7D7-4FFF-9FAA-95144785C872}" name="総数／構成比" dataDxfId="361"/>
    <tableColumn id="12" xr3:uid="{80671A61-73F1-48E4-A221-555661B63608}" name="個人／事業所数" totalsRowFunction="sum" totalsRowDxfId="360" dataCellStyle="桁区切り" totalsRowCellStyle="桁区切り"/>
    <tableColumn id="13" xr3:uid="{24FDC246-DD25-4211-85E1-7A0945D47B38}" name="個人／構成比" dataDxfId="359"/>
    <tableColumn id="14" xr3:uid="{D9815CD1-978B-4416-B07C-EDAF1B5A627F}" name="法人／事業所数" totalsRowFunction="sum" totalsRowDxfId="358" dataCellStyle="桁区切り" totalsRowCellStyle="桁区切り"/>
    <tableColumn id="15" xr3:uid="{B7D495EF-7DB0-4DE1-9BA5-D236F0DD11A4}" name="法人／構成比" dataDxfId="357"/>
    <tableColumn id="16" xr3:uid="{9296C02C-6DAF-41F8-A86E-70870A7AAEE0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4AEF6708-F8A6-4E02-814A-79A37EE05265}" name="M_TABLE_12231" displayName="M_TABLE_12231" ref="B23:I43" totalsRowShown="0">
  <autoFilter ref="B23:I43" xr:uid="{4AEF6708-F8A6-4E02-814A-79A37EE05265}"/>
  <tableColumns count="8">
    <tableColumn id="9" xr3:uid="{804A9AB0-6009-44BD-B865-5BB2E4C5B617}" name="産業中分類上位２０"/>
    <tableColumn id="10" xr3:uid="{C45310B7-281B-4BBA-985E-F9D9FD3F889A}" name="総数／事業所数" dataCellStyle="桁区切り"/>
    <tableColumn id="11" xr3:uid="{54FF9C94-7D97-4FCD-9199-C89958EF5BD3}" name="総数／構成比" dataDxfId="355"/>
    <tableColumn id="12" xr3:uid="{A8887F71-0702-46A1-8CA2-33E16430A7A3}" name="個人／事業所数" dataCellStyle="桁区切り"/>
    <tableColumn id="13" xr3:uid="{8F95FF71-8EF8-458F-9035-7CA15F4A12F4}" name="個人／構成比" dataDxfId="354"/>
    <tableColumn id="14" xr3:uid="{B89CD0EF-30CB-4B7B-ACFB-1AED3CD581E8}" name="法人／事業所数" dataCellStyle="桁区切り"/>
    <tableColumn id="15" xr3:uid="{2F27AF32-CB3C-4A88-BBD5-D77E73AE99B6}" name="法人／構成比" dataDxfId="353"/>
    <tableColumn id="16" xr3:uid="{E30929BF-7370-418D-9E2E-FCD377AEBFF6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E2119376-BA24-448E-A0E3-B0EF3755ADF5}" name="S_TABLE_12231" displayName="S_TABLE_12231" ref="B46:I67" totalsRowShown="0">
  <autoFilter ref="B46:I67" xr:uid="{E2119376-BA24-448E-A0E3-B0EF3755ADF5}"/>
  <tableColumns count="8">
    <tableColumn id="9" xr3:uid="{3FBCF2C9-A8FA-49CF-84B7-78F369A967A6}" name="産業小分類上位２０"/>
    <tableColumn id="10" xr3:uid="{6F58F58E-42AB-4EE1-BC76-E71826B310F5}" name="総数／事業所数" dataCellStyle="桁区切り"/>
    <tableColumn id="11" xr3:uid="{C21C4545-388B-4595-B53E-37E9910C2EF3}" name="総数／構成比" dataDxfId="352"/>
    <tableColumn id="12" xr3:uid="{4F5C23FF-0C7F-4A74-993A-CC8D323AB8D0}" name="個人／事業所数" dataCellStyle="桁区切り"/>
    <tableColumn id="13" xr3:uid="{D2A1F7C2-A53B-47F2-9CE6-469172DAE404}" name="個人／構成比" dataDxfId="351"/>
    <tableColumn id="14" xr3:uid="{8F0AACDB-6144-489B-B47D-D84391615F8A}" name="法人／事業所数" dataCellStyle="桁区切り"/>
    <tableColumn id="15" xr3:uid="{B5E5927E-717A-43E9-860F-FD5CC7A90712}" name="法人／構成比" dataDxfId="350"/>
    <tableColumn id="16" xr3:uid="{EBFB0EED-D230-457C-BDC7-1FCC8CA4429E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E5C25F52-9C26-4ACC-8B66-0FDB1BA56F39}" name="LTBL_12232" displayName="LTBL_12232" ref="B4:I20" totalsRowCount="1">
  <autoFilter ref="B4:I19" xr:uid="{E5C25F52-9C26-4ACC-8B66-0FDB1BA56F39}"/>
  <tableColumns count="8">
    <tableColumn id="9" xr3:uid="{CF14D022-2C93-4968-8509-9355424D1276}" name="産業大分類" totalsRowLabel="合計" totalsRowDxfId="349"/>
    <tableColumn id="10" xr3:uid="{629DF021-3A92-41C6-B294-A0A4E226A730}" name="総数／事業所数" totalsRowFunction="custom" totalsRowDxfId="348" dataCellStyle="桁区切り" totalsRowCellStyle="桁区切り">
      <totalsRowFormula>SUM(LTBL_12232[総数／事業所数])</totalsRowFormula>
    </tableColumn>
    <tableColumn id="11" xr3:uid="{B2672D69-B2B7-4187-B511-5F3DF52D8A22}" name="総数／構成比" dataDxfId="347"/>
    <tableColumn id="12" xr3:uid="{F8F574F4-DFFB-49C4-BC48-7356BF08DA6B}" name="個人／事業所数" totalsRowFunction="sum" totalsRowDxfId="346" dataCellStyle="桁区切り" totalsRowCellStyle="桁区切り"/>
    <tableColumn id="13" xr3:uid="{91121384-DE6E-49C7-BEC5-B302A76C0D33}" name="個人／構成比" dataDxfId="345"/>
    <tableColumn id="14" xr3:uid="{DBD2C01E-6A4E-44AF-81C3-64C6161C4388}" name="法人／事業所数" totalsRowFunction="sum" totalsRowDxfId="344" dataCellStyle="桁区切り" totalsRowCellStyle="桁区切り"/>
    <tableColumn id="15" xr3:uid="{7BEE873E-2868-480D-BBAF-D4DD499B32B9}" name="法人／構成比" dataDxfId="343"/>
    <tableColumn id="16" xr3:uid="{59D8181A-B465-448D-9B77-92276B10D403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80B876F-6157-43A4-BE10-A634425A8A32}" name="M_TABLE_12102" displayName="M_TABLE_12102" ref="B23:I43" totalsRowShown="0">
  <autoFilter ref="B23:I43" xr:uid="{E80B876F-6157-43A4-BE10-A634425A8A32}"/>
  <tableColumns count="8">
    <tableColumn id="9" xr3:uid="{885FFB61-625E-4490-ADAE-AFCC19188B57}" name="産業中分類上位２０"/>
    <tableColumn id="10" xr3:uid="{DC4FDA20-E5C6-4427-A60D-2D26E325543D}" name="総数／事業所数" dataCellStyle="桁区切り"/>
    <tableColumn id="11" xr3:uid="{E4B0DBF2-9256-4714-92DF-BC4B7F0F0CDF}" name="総数／構成比" dataDxfId="803"/>
    <tableColumn id="12" xr3:uid="{FEFA6F8F-214E-4923-867F-7551EE1C76AA}" name="個人／事業所数" dataCellStyle="桁区切り"/>
    <tableColumn id="13" xr3:uid="{03D74F5F-BBB5-4248-B567-FAC97565DD19}" name="個人／構成比" dataDxfId="802"/>
    <tableColumn id="14" xr3:uid="{4C72C065-E98F-4161-9959-C6CF31231CF4}" name="法人／事業所数" dataCellStyle="桁区切り"/>
    <tableColumn id="15" xr3:uid="{BA1BC241-A26D-47B2-A8E4-7C077CAF8EB4}" name="法人／構成比" dataDxfId="801"/>
    <tableColumn id="16" xr3:uid="{2B9E30AE-53A1-4472-8533-35B3F087909C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599A303B-D816-4967-B442-4DCF8DE871F7}" name="M_TABLE_12232" displayName="M_TABLE_12232" ref="B23:I43" totalsRowShown="0">
  <autoFilter ref="B23:I43" xr:uid="{599A303B-D816-4967-B442-4DCF8DE871F7}"/>
  <tableColumns count="8">
    <tableColumn id="9" xr3:uid="{2267AD65-18CD-4BDA-A84C-E990E3518060}" name="産業中分類上位２０"/>
    <tableColumn id="10" xr3:uid="{2A551ED1-74BE-47BA-B6BC-79F5B2E2CB7B}" name="総数／事業所数" dataCellStyle="桁区切り"/>
    <tableColumn id="11" xr3:uid="{66C83655-DBC0-4583-BDA5-5F5231B4DBB3}" name="総数／構成比" dataDxfId="341"/>
    <tableColumn id="12" xr3:uid="{17DB4BF7-C7E4-478C-967E-B186A23F9EEB}" name="個人／事業所数" dataCellStyle="桁区切り"/>
    <tableColumn id="13" xr3:uid="{8FF23681-804B-44CE-8A31-79EEE83B3AD0}" name="個人／構成比" dataDxfId="340"/>
    <tableColumn id="14" xr3:uid="{D8FD1087-00C6-463D-8D53-33FB2B560EBD}" name="法人／事業所数" dataCellStyle="桁区切り"/>
    <tableColumn id="15" xr3:uid="{580B40D0-5D8C-4F52-A8E7-AEA9722AD9D5}" name="法人／構成比" dataDxfId="339"/>
    <tableColumn id="16" xr3:uid="{162DAE68-C166-4332-89D7-08CEC98F9F31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FD256150-D5E5-473E-9F5D-BA6718BCD233}" name="S_TABLE_12232" displayName="S_TABLE_12232" ref="B46:I68" totalsRowShown="0">
  <autoFilter ref="B46:I68" xr:uid="{FD256150-D5E5-473E-9F5D-BA6718BCD233}"/>
  <tableColumns count="8">
    <tableColumn id="9" xr3:uid="{09202D4E-2378-49B2-81B2-E666111F242A}" name="産業小分類上位２０"/>
    <tableColumn id="10" xr3:uid="{E649FBE2-DC93-4D4A-A5AB-98A8B030BA38}" name="総数／事業所数" dataCellStyle="桁区切り"/>
    <tableColumn id="11" xr3:uid="{F86C7701-6197-430E-A2B6-7DDC13AF90CB}" name="総数／構成比" dataDxfId="338"/>
    <tableColumn id="12" xr3:uid="{9DE106B9-45F4-4185-818C-D560882FD82D}" name="個人／事業所数" dataCellStyle="桁区切り"/>
    <tableColumn id="13" xr3:uid="{D9D97696-C392-4508-A7F5-8E2AAB75630C}" name="個人／構成比" dataDxfId="337"/>
    <tableColumn id="14" xr3:uid="{72A83310-EEA6-4EB1-B201-CE98784F85B9}" name="法人／事業所数" dataCellStyle="桁区切り"/>
    <tableColumn id="15" xr3:uid="{DC77D2CF-A795-4788-B4AD-C26FC96EB7C6}" name="法人／構成比" dataDxfId="336"/>
    <tableColumn id="16" xr3:uid="{8BA7FC44-FEB0-4F6E-9C16-325E845D6C4C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24F43D94-483F-4B90-884B-7E22F074BE20}" name="LTBL_12233" displayName="LTBL_12233" ref="B4:I20" totalsRowCount="1">
  <autoFilter ref="B4:I19" xr:uid="{24F43D94-483F-4B90-884B-7E22F074BE20}"/>
  <tableColumns count="8">
    <tableColumn id="9" xr3:uid="{69995131-A338-4CD9-9915-2971C1EB22CB}" name="産業大分類" totalsRowLabel="合計" totalsRowDxfId="335"/>
    <tableColumn id="10" xr3:uid="{496DDB26-847F-4D67-AAC4-076366AA1568}" name="総数／事業所数" totalsRowFunction="custom" totalsRowDxfId="334" dataCellStyle="桁区切り" totalsRowCellStyle="桁区切り">
      <totalsRowFormula>SUM(LTBL_12233[総数／事業所数])</totalsRowFormula>
    </tableColumn>
    <tableColumn id="11" xr3:uid="{F081B4AF-8D0F-4A0C-B3DD-51CE28030CDE}" name="総数／構成比" dataDxfId="333"/>
    <tableColumn id="12" xr3:uid="{DD83FFAD-7AA8-4E6A-A0B9-950ADE1CFB3D}" name="個人／事業所数" totalsRowFunction="sum" totalsRowDxfId="332" dataCellStyle="桁区切り" totalsRowCellStyle="桁区切り"/>
    <tableColumn id="13" xr3:uid="{32E54811-A55E-4BD6-B120-47693EA0BFF7}" name="個人／構成比" dataDxfId="331"/>
    <tableColumn id="14" xr3:uid="{25FB06EE-35CE-4CFC-931E-1873834BE26E}" name="法人／事業所数" totalsRowFunction="sum" totalsRowDxfId="330" dataCellStyle="桁区切り" totalsRowCellStyle="桁区切り"/>
    <tableColumn id="15" xr3:uid="{8BE1B121-F157-44AB-926B-A9A4218F1AD9}" name="法人／構成比" dataDxfId="329"/>
    <tableColumn id="16" xr3:uid="{7D159AA0-B1FC-4415-BEC5-C05260F30220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962A6234-6884-44C2-BB78-4940D030C67E}" name="M_TABLE_12233" displayName="M_TABLE_12233" ref="B23:I43" totalsRowShown="0">
  <autoFilter ref="B23:I43" xr:uid="{962A6234-6884-44C2-BB78-4940D030C67E}"/>
  <tableColumns count="8">
    <tableColumn id="9" xr3:uid="{E02249D7-3715-4970-8DA5-84FC8CFF3F79}" name="産業中分類上位２０"/>
    <tableColumn id="10" xr3:uid="{9A40AFB0-4286-492B-B27C-A33100F11834}" name="総数／事業所数" dataCellStyle="桁区切り"/>
    <tableColumn id="11" xr3:uid="{BE47C142-04BC-4396-9E70-7A22DD104231}" name="総数／構成比" dataDxfId="327"/>
    <tableColumn id="12" xr3:uid="{631E881F-904D-4A23-9E1A-1B8F1CF69380}" name="個人／事業所数" dataCellStyle="桁区切り"/>
    <tableColumn id="13" xr3:uid="{F564C65C-7074-433C-83A4-52B52D2C59F2}" name="個人／構成比" dataDxfId="326"/>
    <tableColumn id="14" xr3:uid="{89CB96BC-FF54-45D0-9CB4-68D96D2B4B4D}" name="法人／事業所数" dataCellStyle="桁区切り"/>
    <tableColumn id="15" xr3:uid="{92F905F6-A129-4F50-A818-969CE7B6CD83}" name="法人／構成比" dataDxfId="325"/>
    <tableColumn id="16" xr3:uid="{93721CB9-4D5F-4FBA-A3C5-5FE147F9F1F0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8D550B9B-95A0-4B58-A12C-A8D2E2311A0B}" name="S_TABLE_12233" displayName="S_TABLE_12233" ref="B46:I66" totalsRowShown="0">
  <autoFilter ref="B46:I66" xr:uid="{8D550B9B-95A0-4B58-A12C-A8D2E2311A0B}"/>
  <tableColumns count="8">
    <tableColumn id="9" xr3:uid="{54FA5286-C699-4041-8E1D-BD88F860EC55}" name="産業小分類上位２０"/>
    <tableColumn id="10" xr3:uid="{CF45002A-7AB6-49A8-BEBD-6E081964637C}" name="総数／事業所数" dataCellStyle="桁区切り"/>
    <tableColumn id="11" xr3:uid="{D00D9C2D-9E51-4609-9936-0C17D738689B}" name="総数／構成比" dataDxfId="324"/>
    <tableColumn id="12" xr3:uid="{D5956944-0F5D-4284-A2F6-13B7BFA660EA}" name="個人／事業所数" dataCellStyle="桁区切り"/>
    <tableColumn id="13" xr3:uid="{04B7B343-599C-43BC-9C07-302B70652EDF}" name="個人／構成比" dataDxfId="323"/>
    <tableColumn id="14" xr3:uid="{DF5E78D1-F25E-424F-A473-C1DACFFDA486}" name="法人／事業所数" dataCellStyle="桁区切り"/>
    <tableColumn id="15" xr3:uid="{736DDA95-F074-474E-9967-60D403215A8D}" name="法人／構成比" dataDxfId="322"/>
    <tableColumn id="16" xr3:uid="{FA3E1B2A-8FBF-4317-BB30-8BDA26B9A64E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39878CF3-F996-40D4-9D52-952BD44CB3C4}" name="LTBL_12234" displayName="LTBL_12234" ref="B4:I20" totalsRowCount="1">
  <autoFilter ref="B4:I19" xr:uid="{39878CF3-F996-40D4-9D52-952BD44CB3C4}"/>
  <tableColumns count="8">
    <tableColumn id="9" xr3:uid="{4A467D45-AE86-4E11-82CC-A0ED72EAC3B3}" name="産業大分類" totalsRowLabel="合計" totalsRowDxfId="321"/>
    <tableColumn id="10" xr3:uid="{F71852EC-4A89-452C-B81F-98C750C726EF}" name="総数／事業所数" totalsRowFunction="custom" totalsRowDxfId="320" dataCellStyle="桁区切り" totalsRowCellStyle="桁区切り">
      <totalsRowFormula>SUM(LTBL_12234[総数／事業所数])</totalsRowFormula>
    </tableColumn>
    <tableColumn id="11" xr3:uid="{2F931DF8-F50D-49BD-94CA-1B1A051E5AEE}" name="総数／構成比" dataDxfId="319"/>
    <tableColumn id="12" xr3:uid="{BC553AFD-BD74-47AF-ACB2-FC057279E654}" name="個人／事業所数" totalsRowFunction="sum" totalsRowDxfId="318" dataCellStyle="桁区切り" totalsRowCellStyle="桁区切り"/>
    <tableColumn id="13" xr3:uid="{429BE8CF-523F-4084-BAF6-330A7D049962}" name="個人／構成比" dataDxfId="317"/>
    <tableColumn id="14" xr3:uid="{2268B11B-5900-4808-A8D8-98A5D7A9B18D}" name="法人／事業所数" totalsRowFunction="sum" totalsRowDxfId="316" dataCellStyle="桁区切り" totalsRowCellStyle="桁区切り"/>
    <tableColumn id="15" xr3:uid="{68F26A0C-946D-413F-B955-CB1C97895AC2}" name="法人／構成比" dataDxfId="315"/>
    <tableColumn id="16" xr3:uid="{33B02226-4BDE-4BFA-B59A-A5831F4FAC31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0C40EE74-5FF9-47B2-BDE5-4492A2FFC2F8}" name="M_TABLE_12234" displayName="M_TABLE_12234" ref="B23:I43" totalsRowShown="0">
  <autoFilter ref="B23:I43" xr:uid="{0C40EE74-5FF9-47B2-BDE5-4492A2FFC2F8}"/>
  <tableColumns count="8">
    <tableColumn id="9" xr3:uid="{3B8A3899-0F8E-4E01-AC57-075D3B042264}" name="産業中分類上位２０"/>
    <tableColumn id="10" xr3:uid="{BD4AFF67-9A98-4C87-85F0-F921BFD96334}" name="総数／事業所数" dataCellStyle="桁区切り"/>
    <tableColumn id="11" xr3:uid="{5ADE3FEB-7638-48A7-B6E3-644077A1D0DC}" name="総数／構成比" dataDxfId="313"/>
    <tableColumn id="12" xr3:uid="{79A3A750-657E-4F9F-A4F4-B97BF4E0D680}" name="個人／事業所数" dataCellStyle="桁区切り"/>
    <tableColumn id="13" xr3:uid="{D41ABB2C-26EB-4954-AC18-B0EB2C4C6690}" name="個人／構成比" dataDxfId="312"/>
    <tableColumn id="14" xr3:uid="{B8FD17D1-A21A-4825-B520-AE4794DCF40E}" name="法人／事業所数" dataCellStyle="桁区切り"/>
    <tableColumn id="15" xr3:uid="{A4ED77CC-F1C0-4D76-A7EC-5C24ECE64DA7}" name="法人／構成比" dataDxfId="311"/>
    <tableColumn id="16" xr3:uid="{1060F80A-A21B-475E-82BA-29C024CB0577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4F5967F3-BB8F-4042-B659-3336E7D539EC}" name="S_TABLE_12234" displayName="S_TABLE_12234" ref="B46:I67" totalsRowShown="0">
  <autoFilter ref="B46:I67" xr:uid="{4F5967F3-BB8F-4042-B659-3336E7D539EC}"/>
  <tableColumns count="8">
    <tableColumn id="9" xr3:uid="{FE4231DD-444F-4A30-B0E9-7952F146C532}" name="産業小分類上位２０"/>
    <tableColumn id="10" xr3:uid="{6502B304-FDCB-4DEF-A994-1B12C3943FFE}" name="総数／事業所数" dataCellStyle="桁区切り"/>
    <tableColumn id="11" xr3:uid="{F592C76C-9163-44DA-A60D-478F83B3C918}" name="総数／構成比" dataDxfId="310"/>
    <tableColumn id="12" xr3:uid="{C0912B8A-3902-4580-91CA-8B544A5BF4AA}" name="個人／事業所数" dataCellStyle="桁区切り"/>
    <tableColumn id="13" xr3:uid="{E6740C21-6D7F-4ED5-92A3-389751A4E469}" name="個人／構成比" dataDxfId="309"/>
    <tableColumn id="14" xr3:uid="{9F038476-B169-45B9-BF43-79931E626AE6}" name="法人／事業所数" dataCellStyle="桁区切り"/>
    <tableColumn id="15" xr3:uid="{56396603-0DB6-45AE-8628-59986B6E49DE}" name="法人／構成比" dataDxfId="308"/>
    <tableColumn id="16" xr3:uid="{87F32347-139C-45DC-83C6-9470B19AED46}" name="法人以外の団体／事業所数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2CE18CE1-5852-4FEB-B56E-19FF6A8A48B7}" name="LTBL_12235" displayName="LTBL_12235" ref="B4:I20" totalsRowCount="1">
  <autoFilter ref="B4:I19" xr:uid="{2CE18CE1-5852-4FEB-B56E-19FF6A8A48B7}"/>
  <tableColumns count="8">
    <tableColumn id="9" xr3:uid="{D72B24A6-4CB5-48DB-B56C-7A08DBDAA1D0}" name="産業大分類" totalsRowLabel="合計" totalsRowDxfId="307"/>
    <tableColumn id="10" xr3:uid="{6EF8CC1A-B77E-47BD-A424-2B40D551B627}" name="総数／事業所数" totalsRowFunction="custom" totalsRowDxfId="306" dataCellStyle="桁区切り" totalsRowCellStyle="桁区切り">
      <totalsRowFormula>SUM(LTBL_12235[総数／事業所数])</totalsRowFormula>
    </tableColumn>
    <tableColumn id="11" xr3:uid="{736789C1-AFED-49DB-B2DF-210164B4FFF6}" name="総数／構成比" dataDxfId="305"/>
    <tableColumn id="12" xr3:uid="{9235BE76-B1E6-454E-A4CC-BB5AC594EA8F}" name="個人／事業所数" totalsRowFunction="sum" totalsRowDxfId="304" dataCellStyle="桁区切り" totalsRowCellStyle="桁区切り"/>
    <tableColumn id="13" xr3:uid="{C63D67C7-F926-4CB3-9534-285427241726}" name="個人／構成比" dataDxfId="303"/>
    <tableColumn id="14" xr3:uid="{25727082-FAA1-4997-8A1D-548D7A0F8A18}" name="法人／事業所数" totalsRowFunction="sum" totalsRowDxfId="302" dataCellStyle="桁区切り" totalsRowCellStyle="桁区切り"/>
    <tableColumn id="15" xr3:uid="{35806D7A-F48B-4376-AE99-5AB37D94BF55}" name="法人／構成比" dataDxfId="301"/>
    <tableColumn id="16" xr3:uid="{C5295500-DD67-4B94-8694-F77211DED880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3FC4A2C1-4021-4197-9144-466F5556DE31}" name="M_TABLE_12235" displayName="M_TABLE_12235" ref="B23:I44" totalsRowShown="0">
  <autoFilter ref="B23:I44" xr:uid="{3FC4A2C1-4021-4197-9144-466F5556DE31}"/>
  <tableColumns count="8">
    <tableColumn id="9" xr3:uid="{74D47067-BCA1-41FE-A3BB-E3D41C5F2511}" name="産業中分類上位２０"/>
    <tableColumn id="10" xr3:uid="{80682D48-27DF-4655-8772-EBA5D2FEA70C}" name="総数／事業所数" dataCellStyle="桁区切り"/>
    <tableColumn id="11" xr3:uid="{71628130-4084-4296-AC02-A2A1D385EE77}" name="総数／構成比" dataDxfId="299"/>
    <tableColumn id="12" xr3:uid="{CB808D07-04D9-4E37-BBE9-E56E0AADADE7}" name="個人／事業所数" dataCellStyle="桁区切り"/>
    <tableColumn id="13" xr3:uid="{6BE46917-2A35-4429-8D56-9D041B92C7B4}" name="個人／構成比" dataDxfId="298"/>
    <tableColumn id="14" xr3:uid="{687CFCF9-8EE6-476D-BC8E-0519CAC95932}" name="法人／事業所数" dataCellStyle="桁区切り"/>
    <tableColumn id="15" xr3:uid="{354FF997-841F-4DF9-81C3-E31DA746C027}" name="法人／構成比" dataDxfId="297"/>
    <tableColumn id="16" xr3:uid="{1D301BF5-B285-4CD8-915C-5F3D3D7067F6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AC01830-6738-408A-B04D-DD66C6BDDCE3}" name="S_TABLE_12102" displayName="S_TABLE_12102" ref="B46:I66" totalsRowShown="0">
  <autoFilter ref="B46:I66" xr:uid="{5AC01830-6738-408A-B04D-DD66C6BDDCE3}"/>
  <tableColumns count="8">
    <tableColumn id="9" xr3:uid="{81F4614F-F38E-4DAE-924B-CC9BA8A32252}" name="産業小分類上位２０"/>
    <tableColumn id="10" xr3:uid="{DD1715F6-35BC-466C-9FD8-02837A37E81B}" name="総数／事業所数" dataCellStyle="桁区切り"/>
    <tableColumn id="11" xr3:uid="{944EC17B-7764-4D9E-BD29-AB3BD67A76EC}" name="総数／構成比" dataDxfId="800"/>
    <tableColumn id="12" xr3:uid="{AC8506D3-D09B-476C-B852-19EC8DB7C171}" name="個人／事業所数" dataCellStyle="桁区切り"/>
    <tableColumn id="13" xr3:uid="{BEE6B6F1-361E-4E67-94E4-E049D4EBD55C}" name="個人／構成比" dataDxfId="799"/>
    <tableColumn id="14" xr3:uid="{C33C6D24-C50F-4321-AC66-0F387CC4E30F}" name="法人／事業所数" dataCellStyle="桁区切り"/>
    <tableColumn id="15" xr3:uid="{1E919634-E1ED-4BAC-94C8-0D80623130F6}" name="法人／構成比" dataDxfId="798"/>
    <tableColumn id="16" xr3:uid="{2DA0B531-453F-4959-BCC5-12485EB33F57}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FBC778DD-FD34-42A9-909E-0861971725DC}" name="S_TABLE_12235" displayName="S_TABLE_12235" ref="B47:I67" totalsRowShown="0">
  <autoFilter ref="B47:I67" xr:uid="{FBC778DD-FD34-42A9-909E-0861971725DC}"/>
  <tableColumns count="8">
    <tableColumn id="9" xr3:uid="{FEBDD77B-8F33-44DC-A784-5B7A80528C83}" name="産業小分類上位２０"/>
    <tableColumn id="10" xr3:uid="{87DDCAE7-C328-4A4A-B629-9DA41D3D8B63}" name="総数／事業所数" dataCellStyle="桁区切り"/>
    <tableColumn id="11" xr3:uid="{705EE4A0-BE20-46BF-935A-EECC59A8434E}" name="総数／構成比" dataDxfId="296"/>
    <tableColumn id="12" xr3:uid="{AE1F8266-7702-4A4C-9BE9-8C41FC426BF9}" name="個人／事業所数" dataCellStyle="桁区切り"/>
    <tableColumn id="13" xr3:uid="{391CD415-8613-4BB0-A711-C594135321A1}" name="個人／構成比" dataDxfId="295"/>
    <tableColumn id="14" xr3:uid="{1F781489-1519-4A0D-A8B5-E7697B7BC4E0}" name="法人／事業所数" dataCellStyle="桁区切り"/>
    <tableColumn id="15" xr3:uid="{59999338-B1E6-43F5-8871-96428E9EA256}" name="法人／構成比" dataDxfId="294"/>
    <tableColumn id="16" xr3:uid="{7F9A5B16-965A-4451-BEE6-B595F91365AE}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A5D14EC4-F47E-4ABF-A231-0AF417F162F6}" name="LTBL_12236" displayName="LTBL_12236" ref="B4:I20" totalsRowCount="1">
  <autoFilter ref="B4:I19" xr:uid="{A5D14EC4-F47E-4ABF-A231-0AF417F162F6}"/>
  <tableColumns count="8">
    <tableColumn id="9" xr3:uid="{B8857CDB-028D-4A76-AE11-A1E993107E9A}" name="産業大分類" totalsRowLabel="合計" totalsRowDxfId="293"/>
    <tableColumn id="10" xr3:uid="{7EE69D04-D073-4610-91E1-6A29A328AB59}" name="総数／事業所数" totalsRowFunction="custom" totalsRowDxfId="292" dataCellStyle="桁区切り" totalsRowCellStyle="桁区切り">
      <totalsRowFormula>SUM(LTBL_12236[総数／事業所数])</totalsRowFormula>
    </tableColumn>
    <tableColumn id="11" xr3:uid="{1F36D583-7BD7-4339-99AF-11FF3D0C7653}" name="総数／構成比" dataDxfId="291"/>
    <tableColumn id="12" xr3:uid="{E7B96AC1-1408-4212-A108-7849881A537E}" name="個人／事業所数" totalsRowFunction="sum" totalsRowDxfId="290" dataCellStyle="桁区切り" totalsRowCellStyle="桁区切り"/>
    <tableColumn id="13" xr3:uid="{2D9E4161-FEDE-400C-9B91-53762DEA496B}" name="個人／構成比" dataDxfId="289"/>
    <tableColumn id="14" xr3:uid="{04194514-9F1E-4329-8A63-87BC0C66B536}" name="法人／事業所数" totalsRowFunction="sum" totalsRowDxfId="288" dataCellStyle="桁区切り" totalsRowCellStyle="桁区切り"/>
    <tableColumn id="15" xr3:uid="{83DC23AB-706A-4ADC-BAC1-6102006C06F4}" name="法人／構成比" dataDxfId="287"/>
    <tableColumn id="16" xr3:uid="{04AE5EA8-78FC-4D15-A31E-B403EE0B64F3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32D79132-C819-41F6-8EFC-A0CF0FEAC6F9}" name="M_TABLE_12236" displayName="M_TABLE_12236" ref="B23:I43" totalsRowShown="0">
  <autoFilter ref="B23:I43" xr:uid="{32D79132-C819-41F6-8EFC-A0CF0FEAC6F9}"/>
  <tableColumns count="8">
    <tableColumn id="9" xr3:uid="{37FD991D-2DB5-4070-BB47-338E5561E8CD}" name="産業中分類上位２０"/>
    <tableColumn id="10" xr3:uid="{FC6221A4-B68E-44DE-AC87-16F4A34E12D5}" name="総数／事業所数" dataCellStyle="桁区切り"/>
    <tableColumn id="11" xr3:uid="{FF4A5617-A20D-4E62-ADA8-F758A7138FD7}" name="総数／構成比" dataDxfId="285"/>
    <tableColumn id="12" xr3:uid="{82B75393-6034-46A7-86B9-1E517A1ABA6F}" name="個人／事業所数" dataCellStyle="桁区切り"/>
    <tableColumn id="13" xr3:uid="{A447952C-E3F1-4D54-926F-AA3873528B83}" name="個人／構成比" dataDxfId="284"/>
    <tableColumn id="14" xr3:uid="{806A6105-063C-41E3-B01C-1EE06706527E}" name="法人／事業所数" dataCellStyle="桁区切り"/>
    <tableColumn id="15" xr3:uid="{6080896F-79BC-47CD-94F7-7D7B257EF975}" name="法人／構成比" dataDxfId="283"/>
    <tableColumn id="16" xr3:uid="{DF733AE4-3CD2-4B62-BF81-F736193E44EA}" name="法人以外の団体／事業所数" dataCellStyle="桁区切り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78F7D589-947A-438E-9DC8-C05F8DC5BD80}" name="S_TABLE_12236" displayName="S_TABLE_12236" ref="B46:I66" totalsRowShown="0">
  <autoFilter ref="B46:I66" xr:uid="{78F7D589-947A-438E-9DC8-C05F8DC5BD80}"/>
  <tableColumns count="8">
    <tableColumn id="9" xr3:uid="{399AA4D0-1E4E-4CA1-B157-8267F23D98F9}" name="産業小分類上位２０"/>
    <tableColumn id="10" xr3:uid="{D38CDD13-3794-4747-ACE4-25E6D47BC093}" name="総数／事業所数" dataCellStyle="桁区切り"/>
    <tableColumn id="11" xr3:uid="{1CF7C658-3A5A-47FA-95CB-78F2413FFFA0}" name="総数／構成比" dataDxfId="282"/>
    <tableColumn id="12" xr3:uid="{C1BF49B9-9F2F-4534-85A1-118729246A01}" name="個人／事業所数" dataCellStyle="桁区切り"/>
    <tableColumn id="13" xr3:uid="{0F04F9AC-9395-4FD9-AE2A-497CC6B0CF75}" name="個人／構成比" dataDxfId="281"/>
    <tableColumn id="14" xr3:uid="{37A22609-E9F7-44F1-9D32-7DF81BBDD221}" name="法人／事業所数" dataCellStyle="桁区切り"/>
    <tableColumn id="15" xr3:uid="{B7B79D0B-F9F7-4BCE-9278-913BD0297EB3}" name="法人／構成比" dataDxfId="280"/>
    <tableColumn id="16" xr3:uid="{F60A56CC-339B-47F3-8919-ABA3C5B39096}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93725DE5-BEAF-4DF8-B17D-5D714DD31B3B}" name="LTBL_12237" displayName="LTBL_12237" ref="B4:I20" totalsRowCount="1">
  <autoFilter ref="B4:I19" xr:uid="{93725DE5-BEAF-4DF8-B17D-5D714DD31B3B}"/>
  <tableColumns count="8">
    <tableColumn id="9" xr3:uid="{07177403-4C6B-4556-AD15-832B99588EF0}" name="産業大分類" totalsRowLabel="合計" totalsRowDxfId="279"/>
    <tableColumn id="10" xr3:uid="{64920469-1E7B-4467-B5F7-D16D2BD031CD}" name="総数／事業所数" totalsRowFunction="custom" totalsRowDxfId="278" dataCellStyle="桁区切り" totalsRowCellStyle="桁区切り">
      <totalsRowFormula>SUM(LTBL_12237[総数／事業所数])</totalsRowFormula>
    </tableColumn>
    <tableColumn id="11" xr3:uid="{B62B7F2B-7142-4471-A446-905F8A7819AE}" name="総数／構成比" dataDxfId="277"/>
    <tableColumn id="12" xr3:uid="{5F882469-DA7A-448A-9710-1A5E0D091208}" name="個人／事業所数" totalsRowFunction="sum" totalsRowDxfId="276" dataCellStyle="桁区切り" totalsRowCellStyle="桁区切り"/>
    <tableColumn id="13" xr3:uid="{2E1052A5-64AB-4E33-A6FF-DA803045C1FD}" name="個人／構成比" dataDxfId="275"/>
    <tableColumn id="14" xr3:uid="{3F5B807F-E566-4FEC-8571-A995B338412E}" name="法人／事業所数" totalsRowFunction="sum" totalsRowDxfId="274" dataCellStyle="桁区切り" totalsRowCellStyle="桁区切り"/>
    <tableColumn id="15" xr3:uid="{AD75E8FC-D145-4B27-93F4-B2C656164E91}" name="法人／構成比" dataDxfId="273"/>
    <tableColumn id="16" xr3:uid="{CB9044EF-6E5F-485D-A3CE-537675F68E18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CEDC4EF6-1F86-463F-935B-49C492C2BB65}" name="M_TABLE_12237" displayName="M_TABLE_12237" ref="B23:I43" totalsRowShown="0">
  <autoFilter ref="B23:I43" xr:uid="{CEDC4EF6-1F86-463F-935B-49C492C2BB65}"/>
  <tableColumns count="8">
    <tableColumn id="9" xr3:uid="{486BE82F-DDBC-417B-B3D2-EB6794C9DBD8}" name="産業中分類上位２０"/>
    <tableColumn id="10" xr3:uid="{FC43A991-8A94-4616-A794-3AA98C1CE4C7}" name="総数／事業所数" dataCellStyle="桁区切り"/>
    <tableColumn id="11" xr3:uid="{55994BA2-4CBF-4C39-8017-BA4505128A68}" name="総数／構成比" dataDxfId="271"/>
    <tableColumn id="12" xr3:uid="{B2CD1355-F235-41FD-B812-E631EB27F055}" name="個人／事業所数" dataCellStyle="桁区切り"/>
    <tableColumn id="13" xr3:uid="{A43B33E0-A686-475D-B8B5-8BA979AC8540}" name="個人／構成比" dataDxfId="270"/>
    <tableColumn id="14" xr3:uid="{87DC2F99-D03A-475E-ACD8-ED1A081ADC88}" name="法人／事業所数" dataCellStyle="桁区切り"/>
    <tableColumn id="15" xr3:uid="{8C08D3A3-4D8C-42B9-8FBA-F3027CA59A3C}" name="法人／構成比" dataDxfId="269"/>
    <tableColumn id="16" xr3:uid="{629241AA-C925-4FCD-9B08-3935B6254AA6}" name="法人以外の団体／事業所数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39FE2FBF-F74B-454C-B2BB-B693C055A239}" name="S_TABLE_12237" displayName="S_TABLE_12237" ref="B46:I72" totalsRowShown="0">
  <autoFilter ref="B46:I72" xr:uid="{39FE2FBF-F74B-454C-B2BB-B693C055A239}"/>
  <tableColumns count="8">
    <tableColumn id="9" xr3:uid="{E340A3A3-5EEC-41A0-833E-BE768BF6D115}" name="産業小分類上位２０"/>
    <tableColumn id="10" xr3:uid="{137EFBA8-C288-4DBA-A12E-4862BE8250DC}" name="総数／事業所数" dataCellStyle="桁区切り"/>
    <tableColumn id="11" xr3:uid="{47E9CFC2-38E5-4B22-9F2B-EC1BDF2F4F5E}" name="総数／構成比" dataDxfId="268"/>
    <tableColumn id="12" xr3:uid="{DC199743-DDFA-4000-86A8-3895E5197F09}" name="個人／事業所数" dataCellStyle="桁区切り"/>
    <tableColumn id="13" xr3:uid="{F94FC24A-972E-4B79-A342-CC273458AD04}" name="個人／構成比" dataDxfId="267"/>
    <tableColumn id="14" xr3:uid="{5520EFA8-8385-4FF7-A5DC-7925282B7ED1}" name="法人／事業所数" dataCellStyle="桁区切り"/>
    <tableColumn id="15" xr3:uid="{DABD9988-B39C-46EF-9DF7-258A7DD3C8C2}" name="法人／構成比" dataDxfId="266"/>
    <tableColumn id="16" xr3:uid="{DD6F3CD8-4DE2-4DD9-ACE5-30B57D45D57C}" name="法人以外の団体／事業所数" dataCellStyle="桁区切り"/>
  </tableColumns>
  <tableStyleInfo name="TableStyleMedium9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1C2AB208-3CB7-4D6E-9CB8-E84D03BAA0D1}" name="LTBL_12238" displayName="LTBL_12238" ref="B4:I20" totalsRowCount="1">
  <autoFilter ref="B4:I19" xr:uid="{1C2AB208-3CB7-4D6E-9CB8-E84D03BAA0D1}"/>
  <tableColumns count="8">
    <tableColumn id="9" xr3:uid="{EC4A92B5-08C1-415B-B328-1E76192C2A3B}" name="産業大分類" totalsRowLabel="合計" totalsRowDxfId="265"/>
    <tableColumn id="10" xr3:uid="{41700DFB-3452-46F7-BD47-CA0F4D601C32}" name="総数／事業所数" totalsRowFunction="custom" totalsRowDxfId="264" dataCellStyle="桁区切り" totalsRowCellStyle="桁区切り">
      <totalsRowFormula>SUM(LTBL_12238[総数／事業所数])</totalsRowFormula>
    </tableColumn>
    <tableColumn id="11" xr3:uid="{8706FB61-3B90-4F63-9C61-BEC469436600}" name="総数／構成比" dataDxfId="263"/>
    <tableColumn id="12" xr3:uid="{E77F305B-DD0A-4B88-91B4-821D9DAA7A70}" name="個人／事業所数" totalsRowFunction="sum" totalsRowDxfId="262" dataCellStyle="桁区切り" totalsRowCellStyle="桁区切り"/>
    <tableColumn id="13" xr3:uid="{0EE49391-F8D0-4ADB-9D0F-0A89774A9D60}" name="個人／構成比" dataDxfId="261"/>
    <tableColumn id="14" xr3:uid="{436C3D16-F81B-4D4D-9D0E-6DA798F23D07}" name="法人／事業所数" totalsRowFunction="sum" totalsRowDxfId="260" dataCellStyle="桁区切り" totalsRowCellStyle="桁区切り"/>
    <tableColumn id="15" xr3:uid="{7CEF43C0-24D5-4CFE-850A-C3404CCA6C31}" name="法人／構成比" dataDxfId="259"/>
    <tableColumn id="16" xr3:uid="{C5475FB5-5FFE-44A5-9FA4-D498D0FE34FC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8A3B11E7-2AFF-4A10-AA1D-8EF0BF746FF9}" name="M_TABLE_12238" displayName="M_TABLE_12238" ref="B23:I43" totalsRowShown="0">
  <autoFilter ref="B23:I43" xr:uid="{8A3B11E7-2AFF-4A10-AA1D-8EF0BF746FF9}"/>
  <tableColumns count="8">
    <tableColumn id="9" xr3:uid="{22C0B0FF-73C9-4E7A-AB2C-98AA3EBEBCCB}" name="産業中分類上位２０"/>
    <tableColumn id="10" xr3:uid="{E496A7B7-45D3-4908-B0DF-5B3D86D125B6}" name="総数／事業所数" dataCellStyle="桁区切り"/>
    <tableColumn id="11" xr3:uid="{660C01CC-AC21-4989-99DE-2A4FBA16AE03}" name="総数／構成比" dataDxfId="257"/>
    <tableColumn id="12" xr3:uid="{4497B95D-E647-499E-BF18-E372BC55D911}" name="個人／事業所数" dataCellStyle="桁区切り"/>
    <tableColumn id="13" xr3:uid="{90F23391-9804-4AE8-8F0D-3935C0B4022E}" name="個人／構成比" dataDxfId="256"/>
    <tableColumn id="14" xr3:uid="{21E93945-0B21-4AFC-85A6-F681973C9B77}" name="法人／事業所数" dataCellStyle="桁区切り"/>
    <tableColumn id="15" xr3:uid="{40D5B65A-3F8C-4E8F-A8A4-E12EAF948F4D}" name="法人／構成比" dataDxfId="255"/>
    <tableColumn id="16" xr3:uid="{C85EF94D-BCA5-447C-9C21-7A611F5FF597}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9AD4A2EC-2C6C-481D-9359-0C0BAF4625A2}" name="S_TABLE_12238" displayName="S_TABLE_12238" ref="B46:I66" totalsRowShown="0">
  <autoFilter ref="B46:I66" xr:uid="{9AD4A2EC-2C6C-481D-9359-0C0BAF4625A2}"/>
  <tableColumns count="8">
    <tableColumn id="9" xr3:uid="{E3079DBC-640C-467F-B19A-F84590927BE6}" name="産業小分類上位２０"/>
    <tableColumn id="10" xr3:uid="{3241C0DE-FE64-4592-A9BA-9801A9412C54}" name="総数／事業所数" dataCellStyle="桁区切り"/>
    <tableColumn id="11" xr3:uid="{46792A9C-62A0-4376-8632-FF561A4EF456}" name="総数／構成比" dataDxfId="254"/>
    <tableColumn id="12" xr3:uid="{CB4D3BEA-EB52-428B-AE6B-4304ECA4686A}" name="個人／事業所数" dataCellStyle="桁区切り"/>
    <tableColumn id="13" xr3:uid="{842CEDE9-0B66-4AA6-9969-9087E6DB3A7C}" name="個人／構成比" dataDxfId="253"/>
    <tableColumn id="14" xr3:uid="{7218F3E4-F43F-46BC-B168-E794BFC51B3D}" name="法人／事業所数" dataCellStyle="桁区切り"/>
    <tableColumn id="15" xr3:uid="{36FC1BD6-5DB6-46D0-AB1C-B548FFC67783}" name="法人／構成比" dataDxfId="252"/>
    <tableColumn id="16" xr3:uid="{0B97261C-9619-4C3C-9CAD-182C6351BC81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F4D1A58-7F5D-42D8-9E20-BCE0C8FEC94C}" name="LTBL_12103" displayName="LTBL_12103" ref="B4:I20" totalsRowCount="1">
  <autoFilter ref="B4:I19" xr:uid="{BF4D1A58-7F5D-42D8-9E20-BCE0C8FEC94C}"/>
  <tableColumns count="8">
    <tableColumn id="9" xr3:uid="{0E64E9BB-F45C-4478-8DCB-6DFDEC58D7DC}" name="産業大分類" totalsRowLabel="合計" totalsRowDxfId="797"/>
    <tableColumn id="10" xr3:uid="{2EF3A2AD-ABBC-4048-8DA8-1BDA862BE3A0}" name="総数／事業所数" totalsRowFunction="custom" totalsRowDxfId="796" dataCellStyle="桁区切り" totalsRowCellStyle="桁区切り">
      <totalsRowFormula>SUM(LTBL_12103[総数／事業所数])</totalsRowFormula>
    </tableColumn>
    <tableColumn id="11" xr3:uid="{1DD09F9B-3D34-4D64-A45E-266206AD46E6}" name="総数／構成比" dataDxfId="795"/>
    <tableColumn id="12" xr3:uid="{417CDE35-AD16-430C-8C53-6569551E6AF6}" name="個人／事業所数" totalsRowFunction="sum" totalsRowDxfId="794" dataCellStyle="桁区切り" totalsRowCellStyle="桁区切り"/>
    <tableColumn id="13" xr3:uid="{B8AAB12A-7223-4084-87A0-650A241E96D8}" name="個人／構成比" dataDxfId="793"/>
    <tableColumn id="14" xr3:uid="{E8B9E4FF-6482-4453-BC91-EBF83302BCA2}" name="法人／事業所数" totalsRowFunction="sum" totalsRowDxfId="792" dataCellStyle="桁区切り" totalsRowCellStyle="桁区切り"/>
    <tableColumn id="15" xr3:uid="{9E25755D-B119-418C-B04B-F203208C5A84}" name="法人／構成比" dataDxfId="791"/>
    <tableColumn id="16" xr3:uid="{ADAAE5EF-F97C-4408-9796-AB9C129ABAA6}" name="法人以外の団体／事業所数" totalsRowFunction="sum" totalsRowDxfId="790" dataCellStyle="桁区切り" totalsRow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07EA35D5-A408-4FD2-8022-4E8D6A86C537}" name="LTBL_12239" displayName="LTBL_12239" ref="B4:I20" totalsRowCount="1">
  <autoFilter ref="B4:I19" xr:uid="{07EA35D5-A408-4FD2-8022-4E8D6A86C537}"/>
  <tableColumns count="8">
    <tableColumn id="9" xr3:uid="{5380639F-1ED6-48FA-AA2B-DFB8852E44DC}" name="産業大分類" totalsRowLabel="合計" totalsRowDxfId="251"/>
    <tableColumn id="10" xr3:uid="{44C9578E-1619-4277-9D99-8A56EA571FE4}" name="総数／事業所数" totalsRowFunction="custom" totalsRowDxfId="250" dataCellStyle="桁区切り" totalsRowCellStyle="桁区切り">
      <totalsRowFormula>SUM(LTBL_12239[総数／事業所数])</totalsRowFormula>
    </tableColumn>
    <tableColumn id="11" xr3:uid="{1E1509D3-3902-48A0-955C-48E31056437E}" name="総数／構成比" dataDxfId="249"/>
    <tableColumn id="12" xr3:uid="{51152D1F-20BC-43D8-B2E0-6FEFDA0C1EF9}" name="個人／事業所数" totalsRowFunction="sum" totalsRowDxfId="248" dataCellStyle="桁区切り" totalsRowCellStyle="桁区切り"/>
    <tableColumn id="13" xr3:uid="{B43DA2AD-DE07-42AC-98B7-35540D442F1B}" name="個人／構成比" dataDxfId="247"/>
    <tableColumn id="14" xr3:uid="{C8311709-3117-4CAF-9C1A-EA3BA4297CB5}" name="法人／事業所数" totalsRowFunction="sum" totalsRowDxfId="246" dataCellStyle="桁区切り" totalsRowCellStyle="桁区切り"/>
    <tableColumn id="15" xr3:uid="{F0711555-9BD7-40B0-96CE-8D731FC3FD48}" name="法人／構成比" dataDxfId="245"/>
    <tableColumn id="16" xr3:uid="{E6E9C929-A910-4269-8B64-ECDFC3964657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43156268-C858-406D-9A12-10C1836C8615}" name="M_TABLE_12239" displayName="M_TABLE_12239" ref="B23:I43" totalsRowShown="0">
  <autoFilter ref="B23:I43" xr:uid="{43156268-C858-406D-9A12-10C1836C8615}"/>
  <tableColumns count="8">
    <tableColumn id="9" xr3:uid="{49ADE0E6-04BB-4124-8521-8344A32921D9}" name="産業中分類上位２０"/>
    <tableColumn id="10" xr3:uid="{60507BB7-719C-4A38-85FC-02AD6661B26C}" name="総数／事業所数" dataCellStyle="桁区切り"/>
    <tableColumn id="11" xr3:uid="{543EBA38-A490-43A7-8C2F-55BA1632459A}" name="総数／構成比" dataDxfId="243"/>
    <tableColumn id="12" xr3:uid="{97663F2B-29CE-4664-BFFD-345C79AC849B}" name="個人／事業所数" dataCellStyle="桁区切り"/>
    <tableColumn id="13" xr3:uid="{33642017-422E-44E2-AA42-E8D55F71267B}" name="個人／構成比" dataDxfId="242"/>
    <tableColumn id="14" xr3:uid="{516BC8D0-36DD-4DC1-8FB9-999F55E02ECF}" name="法人／事業所数" dataCellStyle="桁区切り"/>
    <tableColumn id="15" xr3:uid="{717621F7-C93F-40D0-8ECE-492CC5344A62}" name="法人／構成比" dataDxfId="241"/>
    <tableColumn id="16" xr3:uid="{09A0A92D-CEA0-47C1-9D00-4B4AA1014F5B}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75EE007C-C8B5-40A2-A6C6-4A8F27710EF7}" name="S_TABLE_12239" displayName="S_TABLE_12239" ref="B46:I68" totalsRowShown="0">
  <autoFilter ref="B46:I68" xr:uid="{75EE007C-C8B5-40A2-A6C6-4A8F27710EF7}"/>
  <tableColumns count="8">
    <tableColumn id="9" xr3:uid="{27FBDEE9-35FE-4AEF-8055-3BA888A4242C}" name="産業小分類上位２０"/>
    <tableColumn id="10" xr3:uid="{95305386-90C2-4C8B-BC82-CEE0CCB12F61}" name="総数／事業所数" dataCellStyle="桁区切り"/>
    <tableColumn id="11" xr3:uid="{9CF5E4F5-95F0-4526-A9B1-667A980772DE}" name="総数／構成比" dataDxfId="240"/>
    <tableColumn id="12" xr3:uid="{24A2E12B-559C-4218-9EE2-53B1987920DF}" name="個人／事業所数" dataCellStyle="桁区切り"/>
    <tableColumn id="13" xr3:uid="{26D7E489-9BB4-4945-9BFC-BAE77233B3EF}" name="個人／構成比" dataDxfId="239"/>
    <tableColumn id="14" xr3:uid="{AA07DDF3-C17F-4216-9F64-83EE14C657F7}" name="法人／事業所数" dataCellStyle="桁区切り"/>
    <tableColumn id="15" xr3:uid="{4DD38932-8A2F-4476-81B7-E937480D1930}" name="法人／構成比" dataDxfId="238"/>
    <tableColumn id="16" xr3:uid="{3FC55230-A5A0-419B-A91E-42B4689426E0}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521BFE83-C7C1-4DA6-90DD-D82FF23313B9}" name="LTBL_12322" displayName="LTBL_12322" ref="B4:I20" totalsRowCount="1">
  <autoFilter ref="B4:I19" xr:uid="{521BFE83-C7C1-4DA6-90DD-D82FF23313B9}"/>
  <tableColumns count="8">
    <tableColumn id="9" xr3:uid="{21134788-7148-49B2-80D7-125F8C7F0365}" name="産業大分類" totalsRowLabel="合計" totalsRowDxfId="237"/>
    <tableColumn id="10" xr3:uid="{3FCA5575-6661-4E35-9DAC-B68735729A6A}" name="総数／事業所数" totalsRowFunction="custom" totalsRowDxfId="236" dataCellStyle="桁区切り" totalsRowCellStyle="桁区切り">
      <totalsRowFormula>SUM(LTBL_12322[総数／事業所数])</totalsRowFormula>
    </tableColumn>
    <tableColumn id="11" xr3:uid="{861A7574-256B-4F94-B2C2-004F3A0087B0}" name="総数／構成比" dataDxfId="235"/>
    <tableColumn id="12" xr3:uid="{215D089D-A7A8-4BA9-BC7F-8720EC87AF96}" name="個人／事業所数" totalsRowFunction="sum" totalsRowDxfId="234" dataCellStyle="桁区切り" totalsRowCellStyle="桁区切り"/>
    <tableColumn id="13" xr3:uid="{F67B0CBD-51F1-465C-A194-E12ADD4CE19F}" name="個人／構成比" dataDxfId="233"/>
    <tableColumn id="14" xr3:uid="{BE63372E-7095-490E-B8C9-7B0CB0C9C15D}" name="法人／事業所数" totalsRowFunction="sum" totalsRowDxfId="232" dataCellStyle="桁区切り" totalsRowCellStyle="桁区切り"/>
    <tableColumn id="15" xr3:uid="{4D04820E-1951-4E44-B0B4-C74C11AA1154}" name="法人／構成比" dataDxfId="231"/>
    <tableColumn id="16" xr3:uid="{7F41DFA7-26DC-4E02-A0ED-7E92B89630D9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0BB71F3E-4B4A-4E80-A82C-3ABC0C484E08}" name="M_TABLE_12322" displayName="M_TABLE_12322" ref="B23:I44" totalsRowShown="0">
  <autoFilter ref="B23:I44" xr:uid="{0BB71F3E-4B4A-4E80-A82C-3ABC0C484E08}"/>
  <tableColumns count="8">
    <tableColumn id="9" xr3:uid="{F793BA19-B67D-43D6-B54E-9BABB50F0358}" name="産業中分類上位２０"/>
    <tableColumn id="10" xr3:uid="{67E52F35-59E5-4C56-8137-EA81FC5A7E41}" name="総数／事業所数" dataCellStyle="桁区切り"/>
    <tableColumn id="11" xr3:uid="{44859047-B664-415D-B5F5-F6DD32919005}" name="総数／構成比" dataDxfId="229"/>
    <tableColumn id="12" xr3:uid="{B9C0991A-8A9B-4BEE-9B6A-D20C4560C492}" name="個人／事業所数" dataCellStyle="桁区切り"/>
    <tableColumn id="13" xr3:uid="{C3C37A9D-F4C9-4745-AD22-41D269C698F6}" name="個人／構成比" dataDxfId="228"/>
    <tableColumn id="14" xr3:uid="{C7C74292-031C-4628-8DAD-4CAAAAB1D8A9}" name="法人／事業所数" dataCellStyle="桁区切り"/>
    <tableColumn id="15" xr3:uid="{219F8FDB-9D17-49DA-88D6-48EA4AB0A98D}" name="法人／構成比" dataDxfId="227"/>
    <tableColumn id="16" xr3:uid="{A1CFF6CA-32A9-4BEA-BD86-827657B11569}" name="法人以外の団体／事業所数" dataCellStyle="桁区切り"/>
  </tableColumns>
  <tableStyleInfo name="TableStyleMedium9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4934D9F7-C5F1-4086-95C0-8EFBA79699EC}" name="S_TABLE_12322" displayName="S_TABLE_12322" ref="B47:I73" totalsRowShown="0">
  <autoFilter ref="B47:I73" xr:uid="{4934D9F7-C5F1-4086-95C0-8EFBA79699EC}"/>
  <tableColumns count="8">
    <tableColumn id="9" xr3:uid="{316AADB6-C2B4-46AA-B021-3330DF4D0DF6}" name="産業小分類上位２０"/>
    <tableColumn id="10" xr3:uid="{7EBA0A38-7E02-4AD2-BE0D-7A159FB4D837}" name="総数／事業所数" dataCellStyle="桁区切り"/>
    <tableColumn id="11" xr3:uid="{06DB0EAF-BA4C-4761-936F-04C2436D4F8F}" name="総数／構成比" dataDxfId="226"/>
    <tableColumn id="12" xr3:uid="{6BF295B5-227F-432F-AE82-77FE72BD2E37}" name="個人／事業所数" dataCellStyle="桁区切り"/>
    <tableColumn id="13" xr3:uid="{2D0F65A1-DF55-41FF-B2FB-888D6A91A925}" name="個人／構成比" dataDxfId="225"/>
    <tableColumn id="14" xr3:uid="{C2BCA216-E5B9-49A6-BD0B-FC7E9EFD46A4}" name="法人／事業所数" dataCellStyle="桁区切り"/>
    <tableColumn id="15" xr3:uid="{3FD6DA06-B0E9-4530-8F9E-7B89DF950906}" name="法人／構成比" dataDxfId="224"/>
    <tableColumn id="16" xr3:uid="{D0BB03C7-C7A9-43CC-B05A-0CC9986B85F7}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46FD0EEA-3105-4C11-BBEA-949501FDAE12}" name="LTBL_12329" displayName="LTBL_12329" ref="B4:I20" totalsRowCount="1">
  <autoFilter ref="B4:I19" xr:uid="{46FD0EEA-3105-4C11-BBEA-949501FDAE12}"/>
  <tableColumns count="8">
    <tableColumn id="9" xr3:uid="{1CFAE107-E587-4927-864E-64B783FC7751}" name="産業大分類" totalsRowLabel="合計" totalsRowDxfId="223"/>
    <tableColumn id="10" xr3:uid="{1317767C-5FC2-4946-9CC4-AFCBB3443754}" name="総数／事業所数" totalsRowFunction="custom" totalsRowDxfId="222" dataCellStyle="桁区切り" totalsRowCellStyle="桁区切り">
      <totalsRowFormula>SUM(LTBL_12329[総数／事業所数])</totalsRowFormula>
    </tableColumn>
    <tableColumn id="11" xr3:uid="{5AF8F764-DD19-48B2-B901-A9421A0817CE}" name="総数／構成比" dataDxfId="221"/>
    <tableColumn id="12" xr3:uid="{7CC7CE55-16D6-442B-B6FB-B3136DF60035}" name="個人／事業所数" totalsRowFunction="sum" totalsRowDxfId="220" dataCellStyle="桁区切り" totalsRowCellStyle="桁区切り"/>
    <tableColumn id="13" xr3:uid="{24D0249B-6C4D-49DE-8BBB-4FA95D9F3969}" name="個人／構成比" dataDxfId="219"/>
    <tableColumn id="14" xr3:uid="{B2812124-C8E2-441D-940B-1ED6CE4623DC}" name="法人／事業所数" totalsRowFunction="sum" totalsRowDxfId="218" dataCellStyle="桁区切り" totalsRowCellStyle="桁区切り"/>
    <tableColumn id="15" xr3:uid="{67A44DDF-2732-48E7-87F1-D10074516BE3}" name="法人／構成比" dataDxfId="217"/>
    <tableColumn id="16" xr3:uid="{BFC3D9ED-668D-4D0D-B4F3-DCA8E18BAF74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EB842A2C-26FC-4B26-B171-BF126D55229A}" name="M_TABLE_12329" displayName="M_TABLE_12329" ref="B23:I45" totalsRowShown="0">
  <autoFilter ref="B23:I45" xr:uid="{EB842A2C-26FC-4B26-B171-BF126D55229A}"/>
  <tableColumns count="8">
    <tableColumn id="9" xr3:uid="{5DCE9528-C238-45AB-AECF-BA3A84E683D4}" name="産業中分類上位２０"/>
    <tableColumn id="10" xr3:uid="{137113C2-B906-4955-AAB4-F11D5FF0A2D9}" name="総数／事業所数" dataCellStyle="桁区切り"/>
    <tableColumn id="11" xr3:uid="{272B00AF-D755-4D51-B7A2-39489AE90819}" name="総数／構成比" dataDxfId="215"/>
    <tableColumn id="12" xr3:uid="{32750CAA-D3C8-4D88-9C33-36B32D2CFE24}" name="個人／事業所数" dataCellStyle="桁区切り"/>
    <tableColumn id="13" xr3:uid="{B88DD433-50AF-4D59-B453-F8BC892A1992}" name="個人／構成比" dataDxfId="214"/>
    <tableColumn id="14" xr3:uid="{783E3D65-F60E-4FB1-8036-4EDCF8BC7322}" name="法人／事業所数" dataCellStyle="桁区切り"/>
    <tableColumn id="15" xr3:uid="{054DFECC-D639-4A15-89B3-2A2631933FC8}" name="法人／構成比" dataDxfId="213"/>
    <tableColumn id="16" xr3:uid="{276F5C80-0C25-4CC7-9CAF-45A6C112D77A}" name="法人以外の団体／事業所数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23AC291D-DE6E-4C50-A966-D04D4A9B4769}" name="S_TABLE_12329" displayName="S_TABLE_12329" ref="B48:I72" totalsRowShown="0">
  <autoFilter ref="B48:I72" xr:uid="{23AC291D-DE6E-4C50-A966-D04D4A9B4769}"/>
  <tableColumns count="8">
    <tableColumn id="9" xr3:uid="{D049402A-E419-486A-A284-539295C2FF95}" name="産業小分類上位２０"/>
    <tableColumn id="10" xr3:uid="{4154C3CA-89C4-461F-AC30-779BA21F8A75}" name="総数／事業所数" dataCellStyle="桁区切り"/>
    <tableColumn id="11" xr3:uid="{ECD8BD4E-4808-4529-BCCF-391CC6F1FF06}" name="総数／構成比" dataDxfId="212"/>
    <tableColumn id="12" xr3:uid="{17896571-93C1-49F6-BA40-17096898D947}" name="個人／事業所数" dataCellStyle="桁区切り"/>
    <tableColumn id="13" xr3:uid="{518F8DE9-71C8-46E1-8CF5-4BD39076E106}" name="個人／構成比" dataDxfId="211"/>
    <tableColumn id="14" xr3:uid="{CDA59DBA-B39D-4C2E-93EB-3AFB1BAED8AC}" name="法人／事業所数" dataCellStyle="桁区切り"/>
    <tableColumn id="15" xr3:uid="{134BE6F6-57B1-4E4F-A2ED-23659DFD87B3}" name="法人／構成比" dataDxfId="210"/>
    <tableColumn id="16" xr3:uid="{99B2A7EF-F1BA-44F1-A2F4-B4E95FC2DA18}" name="法人以外の団体／事業所数" dataCellStyle="桁区切り"/>
  </tableColumns>
  <tableStyleInfo name="TableStyleMedium9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DDBBE4A3-0B7A-4004-ADFC-046635ECC778}" name="LTBL_12342" displayName="LTBL_12342" ref="B4:I20" totalsRowCount="1">
  <autoFilter ref="B4:I19" xr:uid="{DDBBE4A3-0B7A-4004-ADFC-046635ECC778}"/>
  <tableColumns count="8">
    <tableColumn id="9" xr3:uid="{64B7FD81-13A3-4E37-BF06-CF071D1639C2}" name="産業大分類" totalsRowLabel="合計" totalsRowDxfId="209"/>
    <tableColumn id="10" xr3:uid="{707587B9-39EF-48A9-8D1F-23DA378B9982}" name="総数／事業所数" totalsRowFunction="custom" totalsRowDxfId="208" dataCellStyle="桁区切り" totalsRowCellStyle="桁区切り">
      <totalsRowFormula>SUM(LTBL_12342[総数／事業所数])</totalsRowFormula>
    </tableColumn>
    <tableColumn id="11" xr3:uid="{46C732B6-0E4A-438F-BC9D-CCFC0F6BB3BE}" name="総数／構成比" dataDxfId="207"/>
    <tableColumn id="12" xr3:uid="{E09A8083-C92A-4A1B-A8F8-43C02EDAFFAF}" name="個人／事業所数" totalsRowFunction="sum" totalsRowDxfId="206" dataCellStyle="桁区切り" totalsRowCellStyle="桁区切り"/>
    <tableColumn id="13" xr3:uid="{498C1541-D17A-4AD6-BF07-AD5172466FE0}" name="個人／構成比" dataDxfId="205"/>
    <tableColumn id="14" xr3:uid="{3440BB0B-E449-4496-BB14-6F6512AD0C0C}" name="法人／事業所数" totalsRowFunction="sum" totalsRowDxfId="204" dataCellStyle="桁区切り" totalsRowCellStyle="桁区切り"/>
    <tableColumn id="15" xr3:uid="{8F752D9D-2968-41BC-9AAD-6372A20B5C2F}" name="法人／構成比" dataDxfId="203"/>
    <tableColumn id="16" xr3:uid="{2FD95795-6D46-4D59-9D83-CDAA90A08665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53DA78D-6447-499A-AE63-1D9004543253}" name="M_TABLE_12103" displayName="M_TABLE_12103" ref="B23:I43" totalsRowShown="0">
  <autoFilter ref="B23:I43" xr:uid="{B53DA78D-6447-499A-AE63-1D9004543253}"/>
  <tableColumns count="8">
    <tableColumn id="9" xr3:uid="{CE08A460-77D7-48EF-9E71-87DBB51EA62D}" name="産業中分類上位２０"/>
    <tableColumn id="10" xr3:uid="{A4DB659B-1396-479E-A923-E5026FD7B145}" name="総数／事業所数" dataCellStyle="桁区切り"/>
    <tableColumn id="11" xr3:uid="{DF60DF5F-C1E9-4CCC-A653-917F15B48D8C}" name="総数／構成比" dataDxfId="789"/>
    <tableColumn id="12" xr3:uid="{4E230C37-E4B3-4DD1-BC37-4EC1C33B5232}" name="個人／事業所数" dataCellStyle="桁区切り"/>
    <tableColumn id="13" xr3:uid="{1D9EBD68-53FC-42FE-93AD-469F5AA00439}" name="個人／構成比" dataDxfId="788"/>
    <tableColumn id="14" xr3:uid="{DA4843A7-38D9-4927-AA83-B84886C4A55F}" name="法人／事業所数" dataCellStyle="桁区切り"/>
    <tableColumn id="15" xr3:uid="{86774584-C32D-4DEB-B91D-9BBA8BB21B08}" name="法人／構成比" dataDxfId="787"/>
    <tableColumn id="16" xr3:uid="{91835D4F-A905-4AAC-A16A-DF4A662E33D0}" name="法人以外の団体／事業所数" dataCellStyle="桁区切り"/>
  </tableColumns>
  <tableStyleInfo name="TableStyleMedium9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629854C6-9098-43DD-BE65-B2981AE21ED1}" name="M_TABLE_12342" displayName="M_TABLE_12342" ref="B23:I58" totalsRowShown="0">
  <autoFilter ref="B23:I58" xr:uid="{629854C6-9098-43DD-BE65-B2981AE21ED1}"/>
  <tableColumns count="8">
    <tableColumn id="9" xr3:uid="{099DDBF8-73AC-47B2-B87F-80B068193013}" name="産業中分類上位２０"/>
    <tableColumn id="10" xr3:uid="{C0DC1F4E-4543-41DD-81AA-776E4430FD34}" name="総数／事業所数" dataCellStyle="桁区切り"/>
    <tableColumn id="11" xr3:uid="{2E69954B-5511-4A8F-971F-5FBF151E7729}" name="総数／構成比" dataDxfId="201"/>
    <tableColumn id="12" xr3:uid="{5512AD73-4C26-4995-9536-CAC43E61428F}" name="個人／事業所数" dataCellStyle="桁区切り"/>
    <tableColumn id="13" xr3:uid="{722A2BE7-DDFD-4A5D-B147-B9843EB9BC80}" name="個人／構成比" dataDxfId="200"/>
    <tableColumn id="14" xr3:uid="{9F420D39-052C-4F99-982D-74E11F629005}" name="法人／事業所数" dataCellStyle="桁区切り"/>
    <tableColumn id="15" xr3:uid="{BE464A77-6D8B-4F8F-859A-A6291ECFC9BE}" name="法人／構成比" dataDxfId="199"/>
    <tableColumn id="16" xr3:uid="{265EED77-1F9D-471C-9476-1D494FD58254}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059DAC72-16B6-4E18-913E-EB40128C2884}" name="S_TABLE_12342" displayName="S_TABLE_12342" ref="B61:I87" totalsRowShown="0">
  <autoFilter ref="B61:I87" xr:uid="{059DAC72-16B6-4E18-913E-EB40128C2884}"/>
  <tableColumns count="8">
    <tableColumn id="9" xr3:uid="{55A6D373-0D60-46CE-925B-BAFE5D25961C}" name="産業小分類上位２０"/>
    <tableColumn id="10" xr3:uid="{72E9FE48-5396-4743-9C64-8EF9D230A0CA}" name="総数／事業所数" dataCellStyle="桁区切り"/>
    <tableColumn id="11" xr3:uid="{15C549CE-0F11-4E86-9CF7-48FEC5587061}" name="総数／構成比" dataDxfId="198"/>
    <tableColumn id="12" xr3:uid="{7F13B3A1-393D-4A76-A1E9-6B4778E59B29}" name="個人／事業所数" dataCellStyle="桁区切り"/>
    <tableColumn id="13" xr3:uid="{15BBD5B5-6553-42B4-B710-B030BED93D17}" name="個人／構成比" dataDxfId="197"/>
    <tableColumn id="14" xr3:uid="{25A4D043-3E4D-4368-85CA-1C8F9FBC6B6C}" name="法人／事業所数" dataCellStyle="桁区切り"/>
    <tableColumn id="15" xr3:uid="{F37758BC-23DB-40F8-B65A-C229AA33ACEA}" name="法人／構成比" dataDxfId="196"/>
    <tableColumn id="16" xr3:uid="{6225493D-4FA2-4A25-8F13-E34A9AD44541}" name="法人以外の団体／事業所数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954F49A5-16C1-4785-9386-4035C72E8DA6}" name="LTBL_12347" displayName="LTBL_12347" ref="B4:I20" totalsRowCount="1">
  <autoFilter ref="B4:I19" xr:uid="{954F49A5-16C1-4785-9386-4035C72E8DA6}"/>
  <tableColumns count="8">
    <tableColumn id="9" xr3:uid="{DC47AD1C-F527-4069-8E2D-E19ACCA1D4F0}" name="産業大分類" totalsRowLabel="合計" totalsRowDxfId="195"/>
    <tableColumn id="10" xr3:uid="{8B3C8E78-AA2B-41A2-9B9F-A5BD24F73D0C}" name="総数／事業所数" totalsRowFunction="custom" totalsRowDxfId="194" dataCellStyle="桁区切り" totalsRowCellStyle="桁区切り">
      <totalsRowFormula>SUM(LTBL_12347[総数／事業所数])</totalsRowFormula>
    </tableColumn>
    <tableColumn id="11" xr3:uid="{E0670142-1D8D-4082-BA76-35EADB77FFC5}" name="総数／構成比" dataDxfId="193"/>
    <tableColumn id="12" xr3:uid="{FD757662-A499-47D7-9C3A-495FDEBB9083}" name="個人／事業所数" totalsRowFunction="sum" totalsRowDxfId="192" dataCellStyle="桁区切り" totalsRowCellStyle="桁区切り"/>
    <tableColumn id="13" xr3:uid="{B820668C-C3E4-4357-B31C-9DBCA169D568}" name="個人／構成比" dataDxfId="191"/>
    <tableColumn id="14" xr3:uid="{77C96395-D21D-4ABF-A719-81A9A8283276}" name="法人／事業所数" totalsRowFunction="sum" totalsRowDxfId="190" dataCellStyle="桁区切り" totalsRowCellStyle="桁区切り"/>
    <tableColumn id="15" xr3:uid="{8E8536C3-BE2D-4FC6-A510-94EC37481A4B}" name="法人／構成比" dataDxfId="189"/>
    <tableColumn id="16" xr3:uid="{0B8E00BB-33A3-4E00-83A8-3B4972708D6D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127178C6-DD46-40A9-86BB-D8FC4B3B36E6}" name="M_TABLE_12347" displayName="M_TABLE_12347" ref="B23:I45" totalsRowShown="0">
  <autoFilter ref="B23:I45" xr:uid="{127178C6-DD46-40A9-86BB-D8FC4B3B36E6}"/>
  <tableColumns count="8">
    <tableColumn id="9" xr3:uid="{AD93D155-EFAC-487A-B1A7-FA630A3A4703}" name="産業中分類上位２０"/>
    <tableColumn id="10" xr3:uid="{E965464A-C6CA-4849-9FEF-EA69BE85DE50}" name="総数／事業所数" dataCellStyle="桁区切り"/>
    <tableColumn id="11" xr3:uid="{A6005000-F041-454D-8085-784B26812BC0}" name="総数／構成比" dataDxfId="187"/>
    <tableColumn id="12" xr3:uid="{1D0FCFAC-1366-47F5-9D5C-F22B9D0D466A}" name="個人／事業所数" dataCellStyle="桁区切り"/>
    <tableColumn id="13" xr3:uid="{D95844C5-BBD5-4657-B077-EF1436B52C6D}" name="個人／構成比" dataDxfId="186"/>
    <tableColumn id="14" xr3:uid="{1C215401-B15A-4586-8429-9E03EC526875}" name="法人／事業所数" dataCellStyle="桁区切り"/>
    <tableColumn id="15" xr3:uid="{BD48117F-17FF-45D0-8984-26E00B5DA6C7}" name="法人／構成比" dataDxfId="185"/>
    <tableColumn id="16" xr3:uid="{B4579184-0209-4F09-9962-CF77C8AF2EBA}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074E70E8-ABBE-40E1-AB1B-C1513F87B11C}" name="S_TABLE_12347" displayName="S_TABLE_12347" ref="B48:I75" totalsRowShown="0">
  <autoFilter ref="B48:I75" xr:uid="{074E70E8-ABBE-40E1-AB1B-C1513F87B11C}"/>
  <tableColumns count="8">
    <tableColumn id="9" xr3:uid="{095AA6A9-057B-446C-89D5-D38BD46F1774}" name="産業小分類上位２０"/>
    <tableColumn id="10" xr3:uid="{60D088C5-835E-4D4D-8E6C-E83182FFFCE9}" name="総数／事業所数" dataCellStyle="桁区切り"/>
    <tableColumn id="11" xr3:uid="{6B96D40D-08F9-454E-AC27-8A6BA4D31665}" name="総数／構成比" dataDxfId="184"/>
    <tableColumn id="12" xr3:uid="{780AF609-7DCD-4FB3-A7C7-C88CD90A6C46}" name="個人／事業所数" dataCellStyle="桁区切り"/>
    <tableColumn id="13" xr3:uid="{35FB1750-175B-49D1-82A6-A6F593361440}" name="個人／構成比" dataDxfId="183"/>
    <tableColumn id="14" xr3:uid="{95871210-16C4-4AEF-9A29-7DDA4095FCFB}" name="法人／事業所数" dataCellStyle="桁区切り"/>
    <tableColumn id="15" xr3:uid="{21A0035A-6191-41A4-9783-848996F05DFA}" name="法人／構成比" dataDxfId="182"/>
    <tableColumn id="16" xr3:uid="{611B7121-4FFA-4FB6-94DE-CDCFD2FA8E96}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3B4AAB0F-B1EF-4BAE-B314-A06D86B0BC5D}" name="LTBL_12349" displayName="LTBL_12349" ref="B4:I20" totalsRowCount="1">
  <autoFilter ref="B4:I19" xr:uid="{3B4AAB0F-B1EF-4BAE-B314-A06D86B0BC5D}"/>
  <tableColumns count="8">
    <tableColumn id="9" xr3:uid="{445C39FF-D157-4646-B4C2-F006A788D059}" name="産業大分類" totalsRowLabel="合計" totalsRowDxfId="181"/>
    <tableColumn id="10" xr3:uid="{35FD9966-6360-4403-9EDE-2ABD56177A79}" name="総数／事業所数" totalsRowFunction="custom" totalsRowDxfId="180" dataCellStyle="桁区切り" totalsRowCellStyle="桁区切り">
      <totalsRowFormula>SUM(LTBL_12349[総数／事業所数])</totalsRowFormula>
    </tableColumn>
    <tableColumn id="11" xr3:uid="{76CF1B2D-0520-4FE6-BD1E-BCC7B3DCA72A}" name="総数／構成比" dataDxfId="179"/>
    <tableColumn id="12" xr3:uid="{C9F46E9B-EB92-49E0-8839-5CD7A3B5D4EA}" name="個人／事業所数" totalsRowFunction="sum" totalsRowDxfId="178" dataCellStyle="桁区切り" totalsRowCellStyle="桁区切り"/>
    <tableColumn id="13" xr3:uid="{E3BC6DE1-0A07-4DE7-A8E9-884D39406A3C}" name="個人／構成比" dataDxfId="177"/>
    <tableColumn id="14" xr3:uid="{D9587A10-1E9F-4642-B42D-F538F8C371EA}" name="法人／事業所数" totalsRowFunction="sum" totalsRowDxfId="176" dataCellStyle="桁区切り" totalsRowCellStyle="桁区切り"/>
    <tableColumn id="15" xr3:uid="{8DFEF64B-FC08-4B02-99F1-9173F90AD204}" name="法人／構成比" dataDxfId="175"/>
    <tableColumn id="16" xr3:uid="{634E147D-CD22-4909-8009-F43CE22B6A41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6D7F314F-4B88-4517-BEF3-1329229E7B95}" name="M_TABLE_12349" displayName="M_TABLE_12349" ref="B23:I48" totalsRowShown="0">
  <autoFilter ref="B23:I48" xr:uid="{6D7F314F-4B88-4517-BEF3-1329229E7B95}"/>
  <tableColumns count="8">
    <tableColumn id="9" xr3:uid="{74A47EBA-9E37-4C4A-AA92-F255BC090763}" name="産業中分類上位２０"/>
    <tableColumn id="10" xr3:uid="{31438258-B6A9-4908-91D6-7FCA964CAE76}" name="総数／事業所数" dataCellStyle="桁区切り"/>
    <tableColumn id="11" xr3:uid="{2DD70752-0342-4556-86F1-9E623751B815}" name="総数／構成比" dataDxfId="173"/>
    <tableColumn id="12" xr3:uid="{0DFE94FC-7B62-4032-82AE-E8CFAD498787}" name="個人／事業所数" dataCellStyle="桁区切り"/>
    <tableColumn id="13" xr3:uid="{087551C1-94D4-4741-82C9-E439AA993AC2}" name="個人／構成比" dataDxfId="172"/>
    <tableColumn id="14" xr3:uid="{3ACA8361-29BC-4042-AB83-3F3174BCAFD4}" name="法人／事業所数" dataCellStyle="桁区切り"/>
    <tableColumn id="15" xr3:uid="{F05AE739-F627-4A6A-A60E-64D21865EB55}" name="法人／構成比" dataDxfId="171"/>
    <tableColumn id="16" xr3:uid="{8A5F9C31-F697-4ADF-BAB9-FD9C050F9D2B}" name="法人以外の団体／事業所数" dataCellStyle="桁区切り"/>
  </tableColumns>
  <tableStyleInfo name="TableStyleMedium9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EDC0B995-4F87-4AB1-A59D-33BA4DEC5E8B}" name="S_TABLE_12349" displayName="S_TABLE_12349" ref="B51:I73" totalsRowShown="0">
  <autoFilter ref="B51:I73" xr:uid="{EDC0B995-4F87-4AB1-A59D-33BA4DEC5E8B}"/>
  <tableColumns count="8">
    <tableColumn id="9" xr3:uid="{D19E8947-AB54-49B4-A8CB-03F5B6778E0E}" name="産業小分類上位２０"/>
    <tableColumn id="10" xr3:uid="{E1F4B53A-952C-4DA7-BA1E-D5B478B79D78}" name="総数／事業所数" dataCellStyle="桁区切り"/>
    <tableColumn id="11" xr3:uid="{656294C2-924B-4973-ADB3-796661FB592B}" name="総数／構成比" dataDxfId="170"/>
    <tableColumn id="12" xr3:uid="{FDE80B04-3663-4561-956A-52DB1A39915A}" name="個人／事業所数" dataCellStyle="桁区切り"/>
    <tableColumn id="13" xr3:uid="{0B49F003-031C-4B6B-8C57-E5A20519C418}" name="個人／構成比" dataDxfId="169"/>
    <tableColumn id="14" xr3:uid="{9D86F2A8-884A-40DC-AC9D-776AE826C8E0}" name="法人／事業所数" dataCellStyle="桁区切り"/>
    <tableColumn id="15" xr3:uid="{BCEB58BD-439F-4CE1-BE11-C13947CDDCE6}" name="法人／構成比" dataDxfId="168"/>
    <tableColumn id="16" xr3:uid="{77715B27-2BFC-4A7B-AD67-6ED832CB6BD6}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17FE2D58-4F44-4AD1-8683-3BE2073F517F}" name="LTBL_12403" displayName="LTBL_12403" ref="B4:I20" totalsRowCount="1">
  <autoFilter ref="B4:I19" xr:uid="{17FE2D58-4F44-4AD1-8683-3BE2073F517F}"/>
  <tableColumns count="8">
    <tableColumn id="9" xr3:uid="{1B951995-93C6-4FD1-94BC-8833A6569A28}" name="産業大分類" totalsRowLabel="合計" totalsRowDxfId="167"/>
    <tableColumn id="10" xr3:uid="{349C12AA-6386-4349-8BF8-AD164AAE496C}" name="総数／事業所数" totalsRowFunction="custom" totalsRowDxfId="166" dataCellStyle="桁区切り" totalsRowCellStyle="桁区切り">
      <totalsRowFormula>SUM(LTBL_12403[総数／事業所数])</totalsRowFormula>
    </tableColumn>
    <tableColumn id="11" xr3:uid="{C480E3F9-5707-455B-8E5E-B6677E15491A}" name="総数／構成比" dataDxfId="165"/>
    <tableColumn id="12" xr3:uid="{41754291-5CA3-49C9-BE40-78B0CF84DC2F}" name="個人／事業所数" totalsRowFunction="sum" totalsRowDxfId="164" dataCellStyle="桁区切り" totalsRowCellStyle="桁区切り"/>
    <tableColumn id="13" xr3:uid="{C7BCF308-ACCB-47BE-B5D0-67676C103E52}" name="個人／構成比" dataDxfId="163"/>
    <tableColumn id="14" xr3:uid="{5D2CC5E3-54D3-4019-BA2F-FF053B95EC53}" name="法人／事業所数" totalsRowFunction="sum" totalsRowDxfId="162" dataCellStyle="桁区切り" totalsRowCellStyle="桁区切り"/>
    <tableColumn id="15" xr3:uid="{AE497315-D23F-4A1F-9F1D-C555579AA540}" name="法人／構成比" dataDxfId="161"/>
    <tableColumn id="16" xr3:uid="{E2EF3EB2-5234-4E23-8F3E-B217AC39FA23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B7718742-1021-451C-BEF1-9A95137C302E}" name="M_TABLE_12403" displayName="M_TABLE_12403" ref="B23:I43" totalsRowShown="0">
  <autoFilter ref="B23:I43" xr:uid="{B7718742-1021-451C-BEF1-9A95137C302E}"/>
  <tableColumns count="8">
    <tableColumn id="9" xr3:uid="{96C722A1-F939-4D81-B284-350046B20332}" name="産業中分類上位２０"/>
    <tableColumn id="10" xr3:uid="{1E95C806-667D-4EF4-9757-5D4B01B87D91}" name="総数／事業所数" dataCellStyle="桁区切り"/>
    <tableColumn id="11" xr3:uid="{FFE097CC-A06C-41E5-82DF-6D31C12860E7}" name="総数／構成比" dataDxfId="159"/>
    <tableColumn id="12" xr3:uid="{6EAC55E1-6DE0-4A10-8DAB-B5F65A4E3081}" name="個人／事業所数" dataCellStyle="桁区切り"/>
    <tableColumn id="13" xr3:uid="{74C2D2CF-5B64-46D0-BAFC-D14EBF2AB5C2}" name="個人／構成比" dataDxfId="158"/>
    <tableColumn id="14" xr3:uid="{623C61CA-2178-4578-920B-7B1C228716B9}" name="法人／事業所数" dataCellStyle="桁区切り"/>
    <tableColumn id="15" xr3:uid="{81408981-FC95-43B6-AC04-1F9DDC608924}" name="法人／構成比" dataDxfId="157"/>
    <tableColumn id="16" xr3:uid="{6B38065B-7094-4ED7-803E-CA45CF12AE0D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E4EB79B-0057-4005-AD2B-1597E0C974CB}" name="S_TABLE_12103" displayName="S_TABLE_12103" ref="B46:I66" totalsRowShown="0">
  <autoFilter ref="B46:I66" xr:uid="{5E4EB79B-0057-4005-AD2B-1597E0C974CB}"/>
  <tableColumns count="8">
    <tableColumn id="9" xr3:uid="{23BB6223-5E3A-4D06-A7DD-CA96C5D44A90}" name="産業小分類上位２０"/>
    <tableColumn id="10" xr3:uid="{BFC71B5C-461C-43B4-87D6-450EBB8CBF68}" name="総数／事業所数" dataCellStyle="桁区切り"/>
    <tableColumn id="11" xr3:uid="{E4BA5C98-A6AA-4FC2-BA2B-8DF121A24E60}" name="総数／構成比" dataDxfId="786"/>
    <tableColumn id="12" xr3:uid="{6CC74E42-411C-4EF3-833B-D86A4F68D10E}" name="個人／事業所数" dataCellStyle="桁区切り"/>
    <tableColumn id="13" xr3:uid="{2F75C2F1-FD0E-4CE1-97CD-601F03565144}" name="個人／構成比" dataDxfId="785"/>
    <tableColumn id="14" xr3:uid="{B76D4157-061F-43CC-960B-A156355B7C61}" name="法人／事業所数" dataCellStyle="桁区切り"/>
    <tableColumn id="15" xr3:uid="{5CCBE6AA-5A24-4A0E-9459-075FAD1920CB}" name="法人／構成比" dataDxfId="784"/>
    <tableColumn id="16" xr3:uid="{0D2B9B0C-2251-4262-ACEF-71572481F6AA}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24AE6B3A-222D-43F8-8E44-BA26F8B6A4C0}" name="S_TABLE_12403" displayName="S_TABLE_12403" ref="B46:I67" totalsRowShown="0">
  <autoFilter ref="B46:I67" xr:uid="{24AE6B3A-222D-43F8-8E44-BA26F8B6A4C0}"/>
  <tableColumns count="8">
    <tableColumn id="9" xr3:uid="{1858B782-923C-4D8D-9748-77AB83566F71}" name="産業小分類上位２０"/>
    <tableColumn id="10" xr3:uid="{27657E11-383F-46E4-8BA0-C29ACF199C19}" name="総数／事業所数" dataCellStyle="桁区切り"/>
    <tableColumn id="11" xr3:uid="{1375DB82-082A-415E-8DC2-7E6BF07D02B8}" name="総数／構成比" dataDxfId="156"/>
    <tableColumn id="12" xr3:uid="{22ACD305-8F99-4807-B198-F8C77534D39D}" name="個人／事業所数" dataCellStyle="桁区切り"/>
    <tableColumn id="13" xr3:uid="{0DB0877C-12C3-4B26-ACF2-0609E06804CA}" name="個人／構成比" dataDxfId="155"/>
    <tableColumn id="14" xr3:uid="{75589436-D528-4400-929A-F891E1B4B44E}" name="法人／事業所数" dataCellStyle="桁区切り"/>
    <tableColumn id="15" xr3:uid="{DCFBF930-886D-4931-8DFC-5B8C601CCB05}" name="法人／構成比" dataDxfId="154"/>
    <tableColumn id="16" xr3:uid="{09D0A412-C02C-401D-BCFB-C4B1BA3C2160}" name="法人以外の団体／事業所数" dataCellStyle="桁区切り"/>
  </tableColumns>
  <tableStyleInfo name="TableStyleMedium9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05DE92B4-F72B-4357-8FC1-905CDB6C4A82}" name="LTBL_12409" displayName="LTBL_12409" ref="B4:I20" totalsRowCount="1">
  <autoFilter ref="B4:I19" xr:uid="{05DE92B4-F72B-4357-8FC1-905CDB6C4A82}"/>
  <tableColumns count="8">
    <tableColumn id="9" xr3:uid="{C37605E6-6552-4917-B70C-CE3822C199BD}" name="産業大分類" totalsRowLabel="合計" totalsRowDxfId="153"/>
    <tableColumn id="10" xr3:uid="{273CB2C7-D062-40AA-8AB9-4548868F36A7}" name="総数／事業所数" totalsRowFunction="custom" totalsRowDxfId="152" dataCellStyle="桁区切り" totalsRowCellStyle="桁区切り">
      <totalsRowFormula>SUM(LTBL_12409[総数／事業所数])</totalsRowFormula>
    </tableColumn>
    <tableColumn id="11" xr3:uid="{1D955372-890B-401D-8A17-86CF89B13874}" name="総数／構成比" dataDxfId="151"/>
    <tableColumn id="12" xr3:uid="{5C9C9AC0-A5FE-4A9C-BC4F-5ECEBD6CD7D8}" name="個人／事業所数" totalsRowFunction="sum" totalsRowDxfId="150" dataCellStyle="桁区切り" totalsRowCellStyle="桁区切り"/>
    <tableColumn id="13" xr3:uid="{25017F36-2DAA-4AF0-92DA-4D867520D227}" name="個人／構成比" dataDxfId="149"/>
    <tableColumn id="14" xr3:uid="{D008E654-89D5-4DB1-B00F-37A6FEA04CBE}" name="法人／事業所数" totalsRowFunction="sum" totalsRowDxfId="148" dataCellStyle="桁区切り" totalsRowCellStyle="桁区切り"/>
    <tableColumn id="15" xr3:uid="{5B7B2A3F-8D64-4CD1-AFC1-DB4A7937D030}" name="法人／構成比" dataDxfId="147"/>
    <tableColumn id="16" xr3:uid="{E5286698-5B29-4A3C-9A8A-57033774DCB6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426A3ECF-25EC-49ED-8785-2CBAB3A54742}" name="M_TABLE_12409" displayName="M_TABLE_12409" ref="B23:I45" totalsRowShown="0">
  <autoFilter ref="B23:I45" xr:uid="{426A3ECF-25EC-49ED-8785-2CBAB3A54742}"/>
  <tableColumns count="8">
    <tableColumn id="9" xr3:uid="{E5CEC57A-8B83-4269-9015-97035EBAFC98}" name="産業中分類上位２０"/>
    <tableColumn id="10" xr3:uid="{13DE93C0-53A8-43D0-AE29-5B48130F3323}" name="総数／事業所数" dataCellStyle="桁区切り"/>
    <tableColumn id="11" xr3:uid="{24FA447E-93C7-40D5-A4EA-AB65164664F9}" name="総数／構成比" dataDxfId="145"/>
    <tableColumn id="12" xr3:uid="{65CFC3AF-A630-4CB9-973B-93C8F127951E}" name="個人／事業所数" dataCellStyle="桁区切り"/>
    <tableColumn id="13" xr3:uid="{A17D9532-2557-4BEB-94F5-1EBB6062E189}" name="個人／構成比" dataDxfId="144"/>
    <tableColumn id="14" xr3:uid="{3C108CA7-1F75-4183-95E1-8C0887B4B0AE}" name="法人／事業所数" dataCellStyle="桁区切り"/>
    <tableColumn id="15" xr3:uid="{049CF1D6-5418-44D0-81A7-83FEFA547D83}" name="法人／構成比" dataDxfId="143"/>
    <tableColumn id="16" xr3:uid="{972A6BB1-C224-4A30-AFFA-B007675C644D}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82A68F3C-5477-4E10-B1CF-9D81141954B5}" name="S_TABLE_12409" displayName="S_TABLE_12409" ref="B48:I68" totalsRowShown="0">
  <autoFilter ref="B48:I68" xr:uid="{82A68F3C-5477-4E10-B1CF-9D81141954B5}"/>
  <tableColumns count="8">
    <tableColumn id="9" xr3:uid="{30234A3A-0091-4FF9-8105-46BF2C32C634}" name="産業小分類上位２０"/>
    <tableColumn id="10" xr3:uid="{C6B69563-0090-42F4-8346-B2F8D3C6DB29}" name="総数／事業所数" dataCellStyle="桁区切り"/>
    <tableColumn id="11" xr3:uid="{C4A101D4-45BA-4560-B5C8-2B36C1711E51}" name="総数／構成比" dataDxfId="142"/>
    <tableColumn id="12" xr3:uid="{3CFFE259-213D-49EB-9E6A-07ECF7330236}" name="個人／事業所数" dataCellStyle="桁区切り"/>
    <tableColumn id="13" xr3:uid="{2FB5BAF5-CB3E-47A9-A447-2CAAAFE2C0D3}" name="個人／構成比" dataDxfId="141"/>
    <tableColumn id="14" xr3:uid="{66BE1A70-8BA8-471A-B045-18D5862493E1}" name="法人／事業所数" dataCellStyle="桁区切り"/>
    <tableColumn id="15" xr3:uid="{D7E32857-0B0C-4304-B995-193CCF6F78BF}" name="法人／構成比" dataDxfId="140"/>
    <tableColumn id="16" xr3:uid="{CB804A9D-16D8-4F5E-B0E6-A1897CC2974C}" name="法人以外の団体／事業所数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85B1D498-8F7F-4B17-B304-961ED1CCD257}" name="LTBL_12410" displayName="LTBL_12410" ref="B4:I20" totalsRowCount="1">
  <autoFilter ref="B4:I19" xr:uid="{85B1D498-8F7F-4B17-B304-961ED1CCD257}"/>
  <tableColumns count="8">
    <tableColumn id="9" xr3:uid="{C9B8062E-8C6A-4DCB-B94D-3D8D6C9684A2}" name="産業大分類" totalsRowLabel="合計" totalsRowDxfId="139"/>
    <tableColumn id="10" xr3:uid="{DB714CB0-596B-41C8-A475-A1DA9A8831EE}" name="総数／事業所数" totalsRowFunction="custom" totalsRowDxfId="138" dataCellStyle="桁区切り" totalsRowCellStyle="桁区切り">
      <totalsRowFormula>SUM(LTBL_12410[総数／事業所数])</totalsRowFormula>
    </tableColumn>
    <tableColumn id="11" xr3:uid="{279FC504-32CE-42C8-A9DC-851B135D5415}" name="総数／構成比" dataDxfId="137"/>
    <tableColumn id="12" xr3:uid="{F757972D-306C-440C-91C0-8B199A312A26}" name="個人／事業所数" totalsRowFunction="sum" totalsRowDxfId="136" dataCellStyle="桁区切り" totalsRowCellStyle="桁区切り"/>
    <tableColumn id="13" xr3:uid="{BB5C8880-82FE-42EE-86D7-7BDDCCBF196E}" name="個人／構成比" dataDxfId="135"/>
    <tableColumn id="14" xr3:uid="{5778AF05-651E-415C-A5FB-C2F35E3F67F5}" name="法人／事業所数" totalsRowFunction="sum" totalsRowDxfId="134" dataCellStyle="桁区切り" totalsRowCellStyle="桁区切り"/>
    <tableColumn id="15" xr3:uid="{CE988831-396C-4D97-89F4-49A89477B367}" name="法人／構成比" dataDxfId="133"/>
    <tableColumn id="16" xr3:uid="{FF2407F9-D795-4EBD-8CA7-457EBC98CCB2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3412870F-BBC7-4C71-972C-C140E920DBDF}" name="M_TABLE_12410" displayName="M_TABLE_12410" ref="B23:I47" totalsRowShown="0">
  <autoFilter ref="B23:I47" xr:uid="{3412870F-BBC7-4C71-972C-C140E920DBDF}"/>
  <tableColumns count="8">
    <tableColumn id="9" xr3:uid="{BCFF58CE-1D48-4486-9991-7AD217103D74}" name="産業中分類上位２０"/>
    <tableColumn id="10" xr3:uid="{1EFDF42E-F206-47F5-8E66-5EEEDD15C739}" name="総数／事業所数" dataCellStyle="桁区切り"/>
    <tableColumn id="11" xr3:uid="{CD11680F-3864-4F18-B192-D3CF00C77DD6}" name="総数／構成比" dataDxfId="131"/>
    <tableColumn id="12" xr3:uid="{394DF5C0-3DD7-4BD8-A7AF-9B2644613AF3}" name="個人／事業所数" dataCellStyle="桁区切り"/>
    <tableColumn id="13" xr3:uid="{81358244-ECFB-4D44-B64F-D491154B6F68}" name="個人／構成比" dataDxfId="130"/>
    <tableColumn id="14" xr3:uid="{141F00C8-89CE-4633-B437-431589CB31B3}" name="法人／事業所数" dataCellStyle="桁区切り"/>
    <tableColumn id="15" xr3:uid="{197AB382-3C0A-4E57-8838-441FBDC6CD9C}" name="法人／構成比" dataDxfId="129"/>
    <tableColumn id="16" xr3:uid="{33216449-AC2E-4317-B7F2-DBCF4BC416D5}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E521E826-7809-47E1-BCF9-F0B8491F5A9B}" name="S_TABLE_12410" displayName="S_TABLE_12410" ref="B50:I70" totalsRowShown="0">
  <autoFilter ref="B50:I70" xr:uid="{E521E826-7809-47E1-BCF9-F0B8491F5A9B}"/>
  <tableColumns count="8">
    <tableColumn id="9" xr3:uid="{0CCCAA01-9967-4652-A5C6-BBD85EC8CFCA}" name="産業小分類上位２０"/>
    <tableColumn id="10" xr3:uid="{6C8C7BE5-1478-43BE-B2F0-D441FBEC0903}" name="総数／事業所数" dataCellStyle="桁区切り"/>
    <tableColumn id="11" xr3:uid="{6E3AC317-6CBE-451B-AB68-D9C8652246F6}" name="総数／構成比" dataDxfId="128"/>
    <tableColumn id="12" xr3:uid="{205BEF7F-EF94-4AC4-B332-91170CF084B2}" name="個人／事業所数" dataCellStyle="桁区切り"/>
    <tableColumn id="13" xr3:uid="{D7C56D6E-A14D-4318-B373-7C7DE1977058}" name="個人／構成比" dataDxfId="127"/>
    <tableColumn id="14" xr3:uid="{2F7D8B10-B33C-4521-A09F-1F3434809610}" name="法人／事業所数" dataCellStyle="桁区切り"/>
    <tableColumn id="15" xr3:uid="{501A1D51-30C4-432C-8D82-5A21C84C95EB}" name="法人／構成比" dataDxfId="126"/>
    <tableColumn id="16" xr3:uid="{ADC9C572-E2E2-4DA4-A38D-B7D31E1F9897}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383FCC8A-B54E-422B-AF31-DAA938D99459}" name="LTBL_12421" displayName="LTBL_12421" ref="B4:I20" totalsRowCount="1">
  <autoFilter ref="B4:I19" xr:uid="{383FCC8A-B54E-422B-AF31-DAA938D99459}"/>
  <tableColumns count="8">
    <tableColumn id="9" xr3:uid="{1DC464A2-F4E4-4B89-BC53-6C9345433A51}" name="産業大分類" totalsRowLabel="合計" totalsRowDxfId="125"/>
    <tableColumn id="10" xr3:uid="{B6716092-A203-4C70-8B24-3C92472E08A3}" name="総数／事業所数" totalsRowFunction="custom" totalsRowDxfId="124" dataCellStyle="桁区切り" totalsRowCellStyle="桁区切り">
      <totalsRowFormula>SUM(LTBL_12421[総数／事業所数])</totalsRowFormula>
    </tableColumn>
    <tableColumn id="11" xr3:uid="{7E3D5305-75F2-4578-9B58-2EB7AF1CB43B}" name="総数／構成比" dataDxfId="123"/>
    <tableColumn id="12" xr3:uid="{F9B1F4CE-F144-41B6-814D-AF958CFA5E86}" name="個人／事業所数" totalsRowFunction="sum" totalsRowDxfId="122" dataCellStyle="桁区切り" totalsRowCellStyle="桁区切り"/>
    <tableColumn id="13" xr3:uid="{255FF8BA-1C6A-4105-8699-F404BAE71CFE}" name="個人／構成比" dataDxfId="121"/>
    <tableColumn id="14" xr3:uid="{556BDE23-93F8-4ED4-A7E1-9AEA87E4FCAB}" name="法人／事業所数" totalsRowFunction="sum" totalsRowDxfId="120" dataCellStyle="桁区切り" totalsRowCellStyle="桁区切り"/>
    <tableColumn id="15" xr3:uid="{B8A0DDAA-3D06-4379-8925-2161CFBD339D}" name="法人／構成比" dataDxfId="119"/>
    <tableColumn id="16" xr3:uid="{5AAE3FF5-65DA-48B4-9EF9-8123007DBECD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CA27EBEF-0890-4ABE-98C6-6C73624FCE29}" name="M_TABLE_12421" displayName="M_TABLE_12421" ref="B23:I44" totalsRowShown="0">
  <autoFilter ref="B23:I44" xr:uid="{CA27EBEF-0890-4ABE-98C6-6C73624FCE29}"/>
  <tableColumns count="8">
    <tableColumn id="9" xr3:uid="{3FBEEFFC-A3E4-42BC-BE86-1AC007B977AE}" name="産業中分類上位２０"/>
    <tableColumn id="10" xr3:uid="{E3F5DEAF-D27F-4344-B244-4AC5721A7461}" name="総数／事業所数" dataCellStyle="桁区切り"/>
    <tableColumn id="11" xr3:uid="{EC86FCD6-EC36-4CFA-ADE0-2927AE71E715}" name="総数／構成比" dataDxfId="117"/>
    <tableColumn id="12" xr3:uid="{6CEC97BD-EC3C-46BE-9E30-733FF4CDA015}" name="個人／事業所数" dataCellStyle="桁区切り"/>
    <tableColumn id="13" xr3:uid="{4A7AB988-3D65-48D4-97A9-310A855A8A28}" name="個人／構成比" dataDxfId="116"/>
    <tableColumn id="14" xr3:uid="{4B017A02-2D3F-44E6-919A-5C35211EB588}" name="法人／事業所数" dataCellStyle="桁区切り"/>
    <tableColumn id="15" xr3:uid="{E81485FA-B597-4C49-B890-CF346A2F08AF}" name="法人／構成比" dataDxfId="115"/>
    <tableColumn id="16" xr3:uid="{A670772B-A23D-4E26-839C-FD0BF5F057DD}" name="法人以外の団体／事業所数" dataCellStyle="桁区切り"/>
  </tableColumns>
  <tableStyleInfo name="TableStyleMedium9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E2463C70-F0D0-4928-ABE0-038EA0CF9C08}" name="S_TABLE_12421" displayName="S_TABLE_12421" ref="B47:I70" totalsRowShown="0">
  <autoFilter ref="B47:I70" xr:uid="{E2463C70-F0D0-4928-ABE0-038EA0CF9C08}"/>
  <tableColumns count="8">
    <tableColumn id="9" xr3:uid="{6178013F-F0A9-4F65-AE56-CC2E351AA06A}" name="産業小分類上位２０"/>
    <tableColumn id="10" xr3:uid="{FA0328DE-E1C3-42EF-B89B-878C046F952F}" name="総数／事業所数" dataCellStyle="桁区切り"/>
    <tableColumn id="11" xr3:uid="{6D1430DD-E96A-4770-BBB2-05539611F92F}" name="総数／構成比" dataDxfId="114"/>
    <tableColumn id="12" xr3:uid="{D811A0FD-FE79-4253-9F9A-1F1D6CC1EC26}" name="個人／事業所数" dataCellStyle="桁区切り"/>
    <tableColumn id="13" xr3:uid="{AB69E986-0BEF-4CEA-817C-DEF5679DAA38}" name="個人／構成比" dataDxfId="113"/>
    <tableColumn id="14" xr3:uid="{5020EEA6-6EEC-47B1-96C6-C4C4AA7E295A}" name="法人／事業所数" dataCellStyle="桁区切り"/>
    <tableColumn id="15" xr3:uid="{83458E1A-BF9C-4969-9D3E-646734AAFD8A}" name="法人／構成比" dataDxfId="112"/>
    <tableColumn id="16" xr3:uid="{DF06DBBA-EDA6-472B-A1CF-5B13DB551FF8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F69AC98-DC41-41B4-B4E4-EAC23C787F57}" name="LTBL_12104" displayName="LTBL_12104" ref="B4:I20" totalsRowCount="1">
  <autoFilter ref="B4:I19" xr:uid="{6F69AC98-DC41-41B4-B4E4-EAC23C787F57}"/>
  <tableColumns count="8">
    <tableColumn id="9" xr3:uid="{5006C7D0-F5C8-4BA1-A8CA-CF41B6B94E19}" name="産業大分類" totalsRowLabel="合計" totalsRowDxfId="783"/>
    <tableColumn id="10" xr3:uid="{39014C66-5651-4C6A-AFB7-277DF6CF3455}" name="総数／事業所数" totalsRowFunction="custom" totalsRowDxfId="782" dataCellStyle="桁区切り" totalsRowCellStyle="桁区切り">
      <totalsRowFormula>SUM(LTBL_12104[総数／事業所数])</totalsRowFormula>
    </tableColumn>
    <tableColumn id="11" xr3:uid="{5767941B-743F-4B92-A661-BF8F8B8A5550}" name="総数／構成比" dataDxfId="781"/>
    <tableColumn id="12" xr3:uid="{4ABB2373-BF08-4BE2-AEB1-192D851C2D77}" name="個人／事業所数" totalsRowFunction="sum" totalsRowDxfId="780" dataCellStyle="桁区切り" totalsRowCellStyle="桁区切り"/>
    <tableColumn id="13" xr3:uid="{F91D33BB-2A33-44F3-AFC6-ACA60A497E7C}" name="個人／構成比" dataDxfId="779"/>
    <tableColumn id="14" xr3:uid="{6322EEED-B023-4F8B-8949-C81D380DB81E}" name="法人／事業所数" totalsRowFunction="sum" totalsRowDxfId="778" dataCellStyle="桁区切り" totalsRowCellStyle="桁区切り"/>
    <tableColumn id="15" xr3:uid="{0B549BE7-9AD1-423E-A12C-61843FC78A69}" name="法人／構成比" dataDxfId="777"/>
    <tableColumn id="16" xr3:uid="{D5A92C5A-3060-41E9-A5E6-39F9486A6933}" name="法人以外の団体／事業所数" totalsRowFunction="sum" totalsRowDxfId="776" dataCellStyle="桁区切り" totalsRow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3D42A5E5-6DCB-48BC-A32B-58A253827E79}" name="LTBL_12422" displayName="LTBL_12422" ref="B4:I20" totalsRowCount="1">
  <autoFilter ref="B4:I19" xr:uid="{3D42A5E5-6DCB-48BC-A32B-58A253827E79}"/>
  <tableColumns count="8">
    <tableColumn id="9" xr3:uid="{954AFBB3-3FE2-437F-896B-26B8D572B5D8}" name="産業大分類" totalsRowLabel="合計" totalsRowDxfId="111"/>
    <tableColumn id="10" xr3:uid="{057CE5A0-13B0-4775-8459-3AFEB70BBDE0}" name="総数／事業所数" totalsRowFunction="custom" totalsRowDxfId="110" dataCellStyle="桁区切り" totalsRowCellStyle="桁区切り">
      <totalsRowFormula>SUM(LTBL_12422[総数／事業所数])</totalsRowFormula>
    </tableColumn>
    <tableColumn id="11" xr3:uid="{747CB300-92BA-4A52-9382-C12FD098CFC8}" name="総数／構成比" dataDxfId="109"/>
    <tableColumn id="12" xr3:uid="{BB5C55E9-5E9D-4598-A644-04654BE82206}" name="個人／事業所数" totalsRowFunction="sum" totalsRowDxfId="108" dataCellStyle="桁区切り" totalsRowCellStyle="桁区切り"/>
    <tableColumn id="13" xr3:uid="{4FB81EDF-311B-4A2D-876C-6E0A1D1D9B48}" name="個人／構成比" dataDxfId="107"/>
    <tableColumn id="14" xr3:uid="{4115067B-C4ED-496D-BE4E-BD7BBE784018}" name="法人／事業所数" totalsRowFunction="sum" totalsRowDxfId="106" dataCellStyle="桁区切り" totalsRowCellStyle="桁区切り"/>
    <tableColumn id="15" xr3:uid="{3702EBAA-1354-4E95-BDAC-5C02A49F9362}" name="法人／構成比" dataDxfId="105"/>
    <tableColumn id="16" xr3:uid="{3C50BF0F-E25F-477F-9160-B8BA23FE72A6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0F6F47EF-6312-4EC0-B011-5902D5A3FB49}" name="M_TABLE_12422" displayName="M_TABLE_12422" ref="B23:I58" totalsRowShown="0">
  <autoFilter ref="B23:I58" xr:uid="{0F6F47EF-6312-4EC0-B011-5902D5A3FB49}"/>
  <tableColumns count="8">
    <tableColumn id="9" xr3:uid="{54E6ADF6-92AE-4419-9F7C-7A085A169AED}" name="産業中分類上位２０"/>
    <tableColumn id="10" xr3:uid="{5722B90C-B07D-4BAD-987D-5932C8882B53}" name="総数／事業所数" dataCellStyle="桁区切り"/>
    <tableColumn id="11" xr3:uid="{5206FE30-7316-4288-ACEC-EFA367CF5271}" name="総数／構成比" dataDxfId="103"/>
    <tableColumn id="12" xr3:uid="{755C0EDF-787F-484B-93A1-8596376711DF}" name="個人／事業所数" dataCellStyle="桁区切り"/>
    <tableColumn id="13" xr3:uid="{858305F6-FCF0-4D5B-ADE0-A12CDAC13958}" name="個人／構成比" dataDxfId="102"/>
    <tableColumn id="14" xr3:uid="{B5FFB8AF-F6F2-4CED-A602-0DEA6D978B1F}" name="法人／事業所数" dataCellStyle="桁区切り"/>
    <tableColumn id="15" xr3:uid="{DFCB6278-690D-479C-8B9F-F345200F25BD}" name="法人／構成比" dataDxfId="101"/>
    <tableColumn id="16" xr3:uid="{A57C4117-A239-4EE2-8D8C-28F087B90455}" name="法人以外の団体／事業所数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064E497F-F9B0-4128-B3CA-690DBADEB30E}" name="S_TABLE_12422" displayName="S_TABLE_12422" ref="B61:I84" totalsRowShown="0">
  <autoFilter ref="B61:I84" xr:uid="{064E497F-F9B0-4128-B3CA-690DBADEB30E}"/>
  <tableColumns count="8">
    <tableColumn id="9" xr3:uid="{C22FF7B5-1CEA-4CA1-979D-DB2F02B7C72F}" name="産業小分類上位２０"/>
    <tableColumn id="10" xr3:uid="{F58F122E-3488-4296-B2F5-45C316D45423}" name="総数／事業所数" dataCellStyle="桁区切り"/>
    <tableColumn id="11" xr3:uid="{3EAC93CD-B330-4912-993C-B17A85AA1CDF}" name="総数／構成比" dataDxfId="100"/>
    <tableColumn id="12" xr3:uid="{ACB034D5-33F6-46A3-99E7-4B302971BAE5}" name="個人／事業所数" dataCellStyle="桁区切り"/>
    <tableColumn id="13" xr3:uid="{A750D7F9-463A-4953-81F1-B25ADCE7DA2D}" name="個人／構成比" dataDxfId="99"/>
    <tableColumn id="14" xr3:uid="{44169DB4-4F20-4B54-818F-4C16FE404515}" name="法人／事業所数" dataCellStyle="桁区切り"/>
    <tableColumn id="15" xr3:uid="{BC3237CE-A11E-4DE3-BD80-32B667050307}" name="法人／構成比" dataDxfId="98"/>
    <tableColumn id="16" xr3:uid="{15CCBA36-1158-42C2-99CE-EFE0A922A177}" name="法人以外の団体／事業所数" dataCellStyle="桁区切り"/>
  </tableColumns>
  <tableStyleInfo name="TableStyleMedium9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AA4F84F4-31B3-4B74-86E8-9C300EEEAD43}" name="LTBL_12423" displayName="LTBL_12423" ref="B4:I20" totalsRowCount="1">
  <autoFilter ref="B4:I19" xr:uid="{AA4F84F4-31B3-4B74-86E8-9C300EEEAD43}"/>
  <tableColumns count="8">
    <tableColumn id="9" xr3:uid="{7BE853E6-8759-4FA7-AE9E-8F3DE8400B94}" name="産業大分類" totalsRowLabel="合計" totalsRowDxfId="97"/>
    <tableColumn id="10" xr3:uid="{C4E08031-31D2-444A-B1F6-1B1C3879F676}" name="総数／事業所数" totalsRowFunction="custom" totalsRowDxfId="96" dataCellStyle="桁区切り" totalsRowCellStyle="桁区切り">
      <totalsRowFormula>SUM(LTBL_12423[総数／事業所数])</totalsRowFormula>
    </tableColumn>
    <tableColumn id="11" xr3:uid="{1778FBC1-F0F3-444D-B613-C40B83121D8D}" name="総数／構成比" dataDxfId="95"/>
    <tableColumn id="12" xr3:uid="{DB58E2A0-378D-4B4B-89B5-3FF6C3EFD100}" name="個人／事業所数" totalsRowFunction="sum" totalsRowDxfId="94" dataCellStyle="桁区切り" totalsRowCellStyle="桁区切り"/>
    <tableColumn id="13" xr3:uid="{EFE7525A-9686-49F6-BC05-8240CB7BBF93}" name="個人／構成比" dataDxfId="93"/>
    <tableColumn id="14" xr3:uid="{AD9C627B-337E-4BAE-A56B-A019AE9FF96D}" name="法人／事業所数" totalsRowFunction="sum" totalsRowDxfId="92" dataCellStyle="桁区切り" totalsRowCellStyle="桁区切り"/>
    <tableColumn id="15" xr3:uid="{8DB5B499-627C-4CDB-8455-44225E69539F}" name="法人／構成比" dataDxfId="91"/>
    <tableColumn id="16" xr3:uid="{BF727EAF-0351-43C3-B6D6-094440ABC2CD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9A2F124F-4D7E-44E0-A2DB-AF242DA3BA25}" name="M_TABLE_12423" displayName="M_TABLE_12423" ref="B23:I48" totalsRowShown="0">
  <autoFilter ref="B23:I48" xr:uid="{9A2F124F-4D7E-44E0-A2DB-AF242DA3BA25}"/>
  <tableColumns count="8">
    <tableColumn id="9" xr3:uid="{9A8A4CC2-0DCA-4F98-ACF6-0B9F00CFC2ED}" name="産業中分類上位２０"/>
    <tableColumn id="10" xr3:uid="{7EC67CDF-E433-4301-8917-4F560712462C}" name="総数／事業所数" dataCellStyle="桁区切り"/>
    <tableColumn id="11" xr3:uid="{C673A028-752A-4A0B-BBF4-239830D81BC4}" name="総数／構成比" dataDxfId="89"/>
    <tableColumn id="12" xr3:uid="{A2A07A67-F474-414B-9F93-EDC1079D2F79}" name="個人／事業所数" dataCellStyle="桁区切り"/>
    <tableColumn id="13" xr3:uid="{59D621C3-3D5F-45F4-BAFB-A35A4E086ECD}" name="個人／構成比" dataDxfId="88"/>
    <tableColumn id="14" xr3:uid="{2921F916-FACA-4EC6-8E60-E3BC22CD06BE}" name="法人／事業所数" dataCellStyle="桁区切り"/>
    <tableColumn id="15" xr3:uid="{A48E5F43-9A8E-4523-A7F9-FD0F06CA8D2A}" name="法人／構成比" dataDxfId="87"/>
    <tableColumn id="16" xr3:uid="{A694EB12-9A87-4657-92FC-7E75D29FF1BA}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0BFBF75C-938D-43A2-95AF-B4C483DC86B9}" name="S_TABLE_12423" displayName="S_TABLE_12423" ref="B51:I77" totalsRowShown="0">
  <autoFilter ref="B51:I77" xr:uid="{0BFBF75C-938D-43A2-95AF-B4C483DC86B9}"/>
  <tableColumns count="8">
    <tableColumn id="9" xr3:uid="{46FFB9AC-504A-4BBD-B6ED-B38C47A8E06A}" name="産業小分類上位２０"/>
    <tableColumn id="10" xr3:uid="{A6FE9606-B09A-4B1B-901C-9985887BB46D}" name="総数／事業所数" dataCellStyle="桁区切り"/>
    <tableColumn id="11" xr3:uid="{4E58DEAE-FB75-4CA2-BFA1-60C0815C1353}" name="総数／構成比" dataDxfId="86"/>
    <tableColumn id="12" xr3:uid="{8D41F0A9-99C5-4DF5-A9A2-B54C06E441EF}" name="個人／事業所数" dataCellStyle="桁区切り"/>
    <tableColumn id="13" xr3:uid="{164A0F4D-4786-4077-A4A6-0CE746EBF4BB}" name="個人／構成比" dataDxfId="85"/>
    <tableColumn id="14" xr3:uid="{590D54F5-5541-4CB2-B0EC-7E7EF024370D}" name="法人／事業所数" dataCellStyle="桁区切り"/>
    <tableColumn id="15" xr3:uid="{6E8CFB5B-3914-48BC-BFDB-E98901A9EB6C}" name="法人／構成比" dataDxfId="84"/>
    <tableColumn id="16" xr3:uid="{4AA80F5B-AE53-4D6C-82FE-7C2BE8F6AF95}" name="法人以外の団体／事業所数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6853A3E8-FD6A-42F4-9D05-A0F8842B15BC}" name="LTBL_12424" displayName="LTBL_12424" ref="B4:I20" totalsRowCount="1">
  <autoFilter ref="B4:I19" xr:uid="{6853A3E8-FD6A-42F4-9D05-A0F8842B15BC}"/>
  <tableColumns count="8">
    <tableColumn id="9" xr3:uid="{83D5C12F-B527-4ADE-A4FF-C52F8246F5D3}" name="産業大分類" totalsRowLabel="合計" totalsRowDxfId="83"/>
    <tableColumn id="10" xr3:uid="{67878065-C3F7-4FA8-BD25-297B3F5440F9}" name="総数／事業所数" totalsRowFunction="custom" totalsRowDxfId="82" dataCellStyle="桁区切り" totalsRowCellStyle="桁区切り">
      <totalsRowFormula>SUM(LTBL_12424[総数／事業所数])</totalsRowFormula>
    </tableColumn>
    <tableColumn id="11" xr3:uid="{63F37DC9-4F49-4376-B77F-7460A960B876}" name="総数／構成比" dataDxfId="81"/>
    <tableColumn id="12" xr3:uid="{DDF12E8F-0F32-4423-8868-24DF8D3E058F}" name="個人／事業所数" totalsRowFunction="sum" totalsRowDxfId="80" dataCellStyle="桁区切り" totalsRowCellStyle="桁区切り"/>
    <tableColumn id="13" xr3:uid="{9D45671B-2051-473E-8CDE-23830ED24C7F}" name="個人／構成比" dataDxfId="79"/>
    <tableColumn id="14" xr3:uid="{F68ACC77-5BA6-40C9-B369-FA300AE6992E}" name="法人／事業所数" totalsRowFunction="sum" totalsRowDxfId="78" dataCellStyle="桁区切り" totalsRowCellStyle="桁区切り"/>
    <tableColumn id="15" xr3:uid="{A2A4980B-0F22-4040-BA37-8CBCA45F1FDB}" name="法人／構成比" dataDxfId="77"/>
    <tableColumn id="16" xr3:uid="{765C2DD8-681A-4F5D-AA26-20EB2FF74AF2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18AF0590-9051-48FF-9C9B-5A134592058A}" name="M_TABLE_12424" displayName="M_TABLE_12424" ref="B23:I44" totalsRowShown="0">
  <autoFilter ref="B23:I44" xr:uid="{18AF0590-9051-48FF-9C9B-5A134592058A}"/>
  <tableColumns count="8">
    <tableColumn id="9" xr3:uid="{F5B01CA3-99C8-41BE-A995-8B4D2324BB96}" name="産業中分類上位２０"/>
    <tableColumn id="10" xr3:uid="{85731937-CB80-4E8F-B5DF-F9E33DC52F68}" name="総数／事業所数" dataCellStyle="桁区切り"/>
    <tableColumn id="11" xr3:uid="{5E559722-1276-4FAE-9E49-29D9D4B9FE2E}" name="総数／構成比" dataDxfId="75"/>
    <tableColumn id="12" xr3:uid="{B535EC57-EFB7-42A9-BA32-CB06D8CD472D}" name="個人／事業所数" dataCellStyle="桁区切り"/>
    <tableColumn id="13" xr3:uid="{8787E00B-36D5-4C34-A3AC-551F0B5C67B1}" name="個人／構成比" dataDxfId="74"/>
    <tableColumn id="14" xr3:uid="{0E837C15-3C53-4874-ADB3-91481F607724}" name="法人／事業所数" dataCellStyle="桁区切り"/>
    <tableColumn id="15" xr3:uid="{3E0D88BC-43A4-42C7-8E31-1C38744303CC}" name="法人／構成比" dataDxfId="73"/>
    <tableColumn id="16" xr3:uid="{BBE60B46-06D5-4FF7-A440-82E7940F66E3}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E90F3273-A449-4122-B90C-C5B4872E551E}" name="S_TABLE_12424" displayName="S_TABLE_12424" ref="B47:I75" totalsRowShown="0">
  <autoFilter ref="B47:I75" xr:uid="{E90F3273-A449-4122-B90C-C5B4872E551E}"/>
  <tableColumns count="8">
    <tableColumn id="9" xr3:uid="{26EF2E72-9ECD-4BE8-8154-C12B029D5865}" name="産業小分類上位２０"/>
    <tableColumn id="10" xr3:uid="{BF310B77-2C2B-4140-90A4-5AE40B68C5EB}" name="総数／事業所数" dataCellStyle="桁区切り"/>
    <tableColumn id="11" xr3:uid="{CC3CEBA1-88DE-45B4-ABCD-ACE3C6530F80}" name="総数／構成比" dataDxfId="72"/>
    <tableColumn id="12" xr3:uid="{47B0F325-6A18-40BD-B899-FB482976D204}" name="個人／事業所数" dataCellStyle="桁区切り"/>
    <tableColumn id="13" xr3:uid="{7AD976F4-36CF-458A-A050-6583785BBD2B}" name="個人／構成比" dataDxfId="71"/>
    <tableColumn id="14" xr3:uid="{7434698B-B194-4D9E-B87B-5CDC9789A11F}" name="法人／事業所数" dataCellStyle="桁区切り"/>
    <tableColumn id="15" xr3:uid="{33EAD33E-69C6-4CE2-888D-CC5287D3CA42}" name="法人／構成比" dataDxfId="70"/>
    <tableColumn id="16" xr3:uid="{9900F6B5-AB91-42D6-AEEB-C90F2C79EEFB}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67443595-B2AB-4CA7-B4E2-C24AC306FC4E}" name="LTBL_12426" displayName="LTBL_12426" ref="B4:I20" totalsRowCount="1">
  <autoFilter ref="B4:I19" xr:uid="{67443595-B2AB-4CA7-B4E2-C24AC306FC4E}"/>
  <tableColumns count="8">
    <tableColumn id="9" xr3:uid="{19901021-6C2A-41A7-9BD3-7CBD7318A6DD}" name="産業大分類" totalsRowLabel="合計" totalsRowDxfId="69"/>
    <tableColumn id="10" xr3:uid="{6C2F65E3-54A5-4689-BE7C-94841FD99639}" name="総数／事業所数" totalsRowFunction="custom" totalsRowDxfId="68" dataCellStyle="桁区切り" totalsRowCellStyle="桁区切り">
      <totalsRowFormula>SUM(LTBL_12426[総数／事業所数])</totalsRowFormula>
    </tableColumn>
    <tableColumn id="11" xr3:uid="{87189C5A-0129-403A-B23B-C86AF1470127}" name="総数／構成比" dataDxfId="67"/>
    <tableColumn id="12" xr3:uid="{BAFAE465-D188-4E7D-B8F8-B9932C27ACCE}" name="個人／事業所数" totalsRowFunction="sum" totalsRowDxfId="66" dataCellStyle="桁区切り" totalsRowCellStyle="桁区切り"/>
    <tableColumn id="13" xr3:uid="{4570C312-9E81-4DD7-AE85-5AC568BA09CF}" name="個人／構成比" dataDxfId="65"/>
    <tableColumn id="14" xr3:uid="{64EC5EDC-A59A-4B29-92B7-E99550FCB8EB}" name="法人／事業所数" totalsRowFunction="sum" totalsRowDxfId="64" dataCellStyle="桁区切り" totalsRowCellStyle="桁区切り"/>
    <tableColumn id="15" xr3:uid="{64BF9B87-811E-4EB1-8D8D-C034E20B1216}" name="法人／構成比" dataDxfId="63"/>
    <tableColumn id="16" xr3:uid="{EE416A1F-2A78-4275-881E-258AB39231E4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5470883-71CE-49D1-AD84-423395D6124E}" name="M_TABLE_12104" displayName="M_TABLE_12104" ref="B23:I43" totalsRowShown="0">
  <autoFilter ref="B23:I43" xr:uid="{15470883-71CE-49D1-AD84-423395D6124E}"/>
  <tableColumns count="8">
    <tableColumn id="9" xr3:uid="{8DB2CACA-9D6E-45FA-86E9-7FC5B6372CFC}" name="産業中分類上位２０"/>
    <tableColumn id="10" xr3:uid="{6A833586-492C-4FA7-B6EC-56286FE61250}" name="総数／事業所数" dataCellStyle="桁区切り"/>
    <tableColumn id="11" xr3:uid="{4FC78D09-0872-420C-9E64-E2D207550C5F}" name="総数／構成比" dataDxfId="775"/>
    <tableColumn id="12" xr3:uid="{B0549B91-DAE0-4E7F-96E0-78FD8390B23F}" name="個人／事業所数" dataCellStyle="桁区切り"/>
    <tableColumn id="13" xr3:uid="{D4335784-AB8B-4083-A791-B49FD0291F9B}" name="個人／構成比" dataDxfId="774"/>
    <tableColumn id="14" xr3:uid="{A3C0F15E-D9E6-4F8C-98AF-1C52C8A370CA}" name="法人／事業所数" dataCellStyle="桁区切り"/>
    <tableColumn id="15" xr3:uid="{3A8414A6-6C31-4D0A-9DB8-A42E2620AB73}" name="法人／構成比" dataDxfId="773"/>
    <tableColumn id="16" xr3:uid="{6C94A869-91F4-4B4B-86AF-137A6358ED82}" name="法人以外の団体／事業所数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F14E2CB0-4087-4F8C-AB41-366F4A026548}" name="M_TABLE_12426" displayName="M_TABLE_12426" ref="B23:I50" totalsRowShown="0">
  <autoFilter ref="B23:I50" xr:uid="{F14E2CB0-4087-4F8C-AB41-366F4A026548}"/>
  <tableColumns count="8">
    <tableColumn id="9" xr3:uid="{7472D93D-9045-4329-A19C-D3FFF8B40110}" name="産業中分類上位２０"/>
    <tableColumn id="10" xr3:uid="{0F6DB9E9-29C1-4C17-8753-C96F4FBCEA58}" name="総数／事業所数" dataCellStyle="桁区切り"/>
    <tableColumn id="11" xr3:uid="{ED62D486-555B-4B88-B5DA-0E4FAB9108FC}" name="総数／構成比" dataDxfId="61"/>
    <tableColumn id="12" xr3:uid="{0A5A2CEB-F2B7-4336-8DBA-D57836512B5B}" name="個人／事業所数" dataCellStyle="桁区切り"/>
    <tableColumn id="13" xr3:uid="{F47D059B-3CA9-4A57-BD7F-B019FB9F17A1}" name="個人／構成比" dataDxfId="60"/>
    <tableColumn id="14" xr3:uid="{D915591C-3C94-4A86-9BD8-FDB026B328DF}" name="法人／事業所数" dataCellStyle="桁区切り"/>
    <tableColumn id="15" xr3:uid="{70102629-D4CC-4CED-B024-5B2CB4D25A61}" name="法人／構成比" dataDxfId="59"/>
    <tableColumn id="16" xr3:uid="{BDB43DCF-6046-400E-9AF4-D2E6950DB0FD}" name="法人以外の団体／事業所数" dataCellStyle="桁区切り"/>
  </tableColumns>
  <tableStyleInfo name="TableStyleMedium9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59242DE0-1094-41BE-A250-0E2B66CCD683}" name="S_TABLE_12426" displayName="S_TABLE_12426" ref="B53:I88" totalsRowShown="0">
  <autoFilter ref="B53:I88" xr:uid="{59242DE0-1094-41BE-A250-0E2B66CCD683}"/>
  <tableColumns count="8">
    <tableColumn id="9" xr3:uid="{8B176650-DF92-4FCE-832C-16C4778F610C}" name="産業小分類上位２０"/>
    <tableColumn id="10" xr3:uid="{E4BFD06D-E4F9-4FE8-8C32-574EDFACCB6C}" name="総数／事業所数" dataCellStyle="桁区切り"/>
    <tableColumn id="11" xr3:uid="{95318D83-7880-42A4-AEDB-73BC9385BB5E}" name="総数／構成比" dataDxfId="58"/>
    <tableColumn id="12" xr3:uid="{CA482B7B-D4BE-49BF-8C87-48B3E955AF6B}" name="個人／事業所数" dataCellStyle="桁区切り"/>
    <tableColumn id="13" xr3:uid="{45CBABAC-8546-4D7B-9BC1-E95FF0D99539}" name="個人／構成比" dataDxfId="57"/>
    <tableColumn id="14" xr3:uid="{0A22A527-6C3D-4132-BE45-7118C40F27D7}" name="法人／事業所数" dataCellStyle="桁区切り"/>
    <tableColumn id="15" xr3:uid="{4D90E0E8-8258-43AE-880B-5BE10CE05975}" name="法人／構成比" dataDxfId="56"/>
    <tableColumn id="16" xr3:uid="{4A97CDEB-5A3D-492D-91BA-DE4D3BBED6FC}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A2FAFFEF-B676-4BD7-90F4-CAB1977744F4}" name="LTBL_12427" displayName="LTBL_12427" ref="B4:I20" totalsRowCount="1">
  <autoFilter ref="B4:I19" xr:uid="{A2FAFFEF-B676-4BD7-90F4-CAB1977744F4}"/>
  <tableColumns count="8">
    <tableColumn id="9" xr3:uid="{144C002D-F2B2-42A8-8738-2F2FFD8DFEBA}" name="産業大分類" totalsRowLabel="合計" totalsRowDxfId="55"/>
    <tableColumn id="10" xr3:uid="{0BF4A3FF-5E03-4A5A-B8B3-85E531AFC12A}" name="総数／事業所数" totalsRowFunction="custom" totalsRowDxfId="54" dataCellStyle="桁区切り" totalsRowCellStyle="桁区切り">
      <totalsRowFormula>SUM(LTBL_12427[総数／事業所数])</totalsRowFormula>
    </tableColumn>
    <tableColumn id="11" xr3:uid="{1904A2F6-BCA9-4CD8-B2FC-BF5DADE46D60}" name="総数／構成比" dataDxfId="53"/>
    <tableColumn id="12" xr3:uid="{AF4C4F7B-A6E6-4E0C-AD4E-E0F4ABD08712}" name="個人／事業所数" totalsRowFunction="sum" totalsRowDxfId="52" dataCellStyle="桁区切り" totalsRowCellStyle="桁区切り"/>
    <tableColumn id="13" xr3:uid="{5FF65E83-591B-426F-8890-83FEE71A8340}" name="個人／構成比" dataDxfId="51"/>
    <tableColumn id="14" xr3:uid="{78B02F92-0B96-43BD-B31A-186CD0506C33}" name="法人／事業所数" totalsRowFunction="sum" totalsRowDxfId="50" dataCellStyle="桁区切り" totalsRowCellStyle="桁区切り"/>
    <tableColumn id="15" xr3:uid="{FA829E5C-95E7-4EA9-BB79-E4B329D29ABC}" name="法人／構成比" dataDxfId="49"/>
    <tableColumn id="16" xr3:uid="{E3E9E86A-FDCE-47C9-A8F3-1AB5F76003DD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751065B4-7234-4440-9D33-8D1656200242}" name="M_TABLE_12427" displayName="M_TABLE_12427" ref="B23:I51" totalsRowShown="0">
  <autoFilter ref="B23:I51" xr:uid="{751065B4-7234-4440-9D33-8D1656200242}"/>
  <tableColumns count="8">
    <tableColumn id="9" xr3:uid="{E2B181B0-99CD-4405-A65A-C3DDC85C239A}" name="産業中分類上位２０"/>
    <tableColumn id="10" xr3:uid="{EF05FB4A-5CA2-45E9-A27F-8CAC96DD58FD}" name="総数／事業所数" dataCellStyle="桁区切り"/>
    <tableColumn id="11" xr3:uid="{BAA2A8F1-017D-43A4-B52E-75C52E4D4F61}" name="総数／構成比" dataDxfId="47"/>
    <tableColumn id="12" xr3:uid="{6EAB18CB-658B-4807-B8FA-A0BB17F4A620}" name="個人／事業所数" dataCellStyle="桁区切り"/>
    <tableColumn id="13" xr3:uid="{B12D22D2-95D7-429C-B078-B326F39947AD}" name="個人／構成比" dataDxfId="46"/>
    <tableColumn id="14" xr3:uid="{E227DB15-A986-4BAA-88E6-1F63EB97328A}" name="法人／事業所数" dataCellStyle="桁区切り"/>
    <tableColumn id="15" xr3:uid="{7DA8834A-2766-437C-9E05-B1F620A489B4}" name="法人／構成比" dataDxfId="45"/>
    <tableColumn id="16" xr3:uid="{E5B085EE-08D7-4E5B-8542-FF7F3A391FAB}" name="法人以外の団体／事業所数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7F3BB55F-A931-48D6-ABD8-94AF6D646763}" name="S_TABLE_12427" displayName="S_TABLE_12427" ref="B54:I76" totalsRowShown="0">
  <autoFilter ref="B54:I76" xr:uid="{7F3BB55F-A931-48D6-ABD8-94AF6D646763}"/>
  <tableColumns count="8">
    <tableColumn id="9" xr3:uid="{6F2C5FBE-DCEB-4EF8-B092-7981D32546EA}" name="産業小分類上位２０"/>
    <tableColumn id="10" xr3:uid="{1761E427-15FC-4D1E-ADC3-8064EDB1773B}" name="総数／事業所数" dataCellStyle="桁区切り"/>
    <tableColumn id="11" xr3:uid="{63258792-ABB6-452C-B5B0-21FB5D9B7C87}" name="総数／構成比" dataDxfId="44"/>
    <tableColumn id="12" xr3:uid="{8B6EFF22-104C-4D0F-89E2-0D141911C36E}" name="個人／事業所数" dataCellStyle="桁区切り"/>
    <tableColumn id="13" xr3:uid="{E2CCBBE6-C9AD-4988-B74C-5BD1582B520E}" name="個人／構成比" dataDxfId="43"/>
    <tableColumn id="14" xr3:uid="{572CDCC9-1DF7-4822-B42C-F71DF3456536}" name="法人／事業所数" dataCellStyle="桁区切り"/>
    <tableColumn id="15" xr3:uid="{6FE9B21F-91EB-4764-8F32-105892765780}" name="法人／構成比" dataDxfId="42"/>
    <tableColumn id="16" xr3:uid="{00571110-76CA-4BC4-937F-267D1CB1660A}" name="法人以外の団体／事業所数" dataCellStyle="桁区切り"/>
  </tableColumns>
  <tableStyleInfo name="TableStyleMedium9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87FAC322-AEA5-4D1D-A66E-F80CA9A86EF0}" name="LTBL_12441" displayName="LTBL_12441" ref="B4:I20" totalsRowCount="1">
  <autoFilter ref="B4:I19" xr:uid="{87FAC322-AEA5-4D1D-A66E-F80CA9A86EF0}"/>
  <tableColumns count="8">
    <tableColumn id="9" xr3:uid="{8545E004-9417-4347-8A0B-0A4A2BFDF350}" name="産業大分類" totalsRowLabel="合計" totalsRowDxfId="41"/>
    <tableColumn id="10" xr3:uid="{6969D352-3A61-4A25-9886-F411AAA14552}" name="総数／事業所数" totalsRowFunction="custom" totalsRowDxfId="40" dataCellStyle="桁区切り" totalsRowCellStyle="桁区切り">
      <totalsRowFormula>SUM(LTBL_12441[総数／事業所数])</totalsRowFormula>
    </tableColumn>
    <tableColumn id="11" xr3:uid="{0E2DE382-36E3-4EB0-A8FC-2D9B8E40A072}" name="総数／構成比" dataDxfId="39"/>
    <tableColumn id="12" xr3:uid="{15EC1F5B-F766-4E1A-AB3D-BB5A0B9EA3B7}" name="個人／事業所数" totalsRowFunction="sum" totalsRowDxfId="38" dataCellStyle="桁区切り" totalsRowCellStyle="桁区切り"/>
    <tableColumn id="13" xr3:uid="{2BF2089A-F311-4947-AB8B-C99CFC651AF8}" name="個人／構成比" dataDxfId="37"/>
    <tableColumn id="14" xr3:uid="{FFA96A94-F3CE-4EED-BE0E-6DAB6F79FF75}" name="法人／事業所数" totalsRowFunction="sum" totalsRowDxfId="36" dataCellStyle="桁区切り" totalsRowCellStyle="桁区切り"/>
    <tableColumn id="15" xr3:uid="{AC4E08AA-E6FE-44B5-B96F-6982F2E56379}" name="法人／構成比" dataDxfId="35"/>
    <tableColumn id="16" xr3:uid="{3660D3D1-F14F-4B33-9646-565C412A9AFD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BCAF45FD-D89C-4A2F-9060-80D67DCD9C8A}" name="M_TABLE_12441" displayName="M_TABLE_12441" ref="B23:I43" totalsRowShown="0">
  <autoFilter ref="B23:I43" xr:uid="{BCAF45FD-D89C-4A2F-9060-80D67DCD9C8A}"/>
  <tableColumns count="8">
    <tableColumn id="9" xr3:uid="{2D687292-D157-43C5-A37E-E37E56DBBF8B}" name="産業中分類上位２０"/>
    <tableColumn id="10" xr3:uid="{44E01FE3-5A06-4A66-9E2E-0FA19F90EE14}" name="総数／事業所数" dataCellStyle="桁区切り"/>
    <tableColumn id="11" xr3:uid="{6CC87859-13E2-4028-93A9-2C13FDB780B2}" name="総数／構成比" dataDxfId="33"/>
    <tableColumn id="12" xr3:uid="{03C2794B-F71F-447A-B256-337A6A819CDC}" name="個人／事業所数" dataCellStyle="桁区切り"/>
    <tableColumn id="13" xr3:uid="{437C5AAB-D3BE-4614-9B38-A756EB999D97}" name="個人／構成比" dataDxfId="32"/>
    <tableColumn id="14" xr3:uid="{F9559771-8027-4AD0-BBAE-7096794273C1}" name="法人／事業所数" dataCellStyle="桁区切り"/>
    <tableColumn id="15" xr3:uid="{D534912B-4F6D-463F-BC1F-6B16B8D33BD2}" name="法人／構成比" dataDxfId="31"/>
    <tableColumn id="16" xr3:uid="{D71EB208-C8F2-44BE-9162-29FB136CE42B}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26D8D100-E821-419A-A219-15BEE393E941}" name="S_TABLE_12441" displayName="S_TABLE_12441" ref="B46:I66" totalsRowShown="0">
  <autoFilter ref="B46:I66" xr:uid="{26D8D100-E821-419A-A219-15BEE393E941}"/>
  <tableColumns count="8">
    <tableColumn id="9" xr3:uid="{11D1AE33-E1F8-4A93-954C-425A49C38545}" name="産業小分類上位２０"/>
    <tableColumn id="10" xr3:uid="{9314F5B5-D8EA-4232-B4E6-CCBB02C27C38}" name="総数／事業所数" dataCellStyle="桁区切り"/>
    <tableColumn id="11" xr3:uid="{8A6477F7-9D84-4B3C-8524-25F18726956E}" name="総数／構成比" dataDxfId="30"/>
    <tableColumn id="12" xr3:uid="{DADF6036-99E3-46F9-948D-09B4CDE0FA2E}" name="個人／事業所数" dataCellStyle="桁区切り"/>
    <tableColumn id="13" xr3:uid="{3901D2E9-4DDB-4D58-ABF5-8D2894516679}" name="個人／構成比" dataDxfId="29"/>
    <tableColumn id="14" xr3:uid="{F639B58A-482E-41BF-A738-EB7FB495323F}" name="法人／事業所数" dataCellStyle="桁区切り"/>
    <tableColumn id="15" xr3:uid="{C9664545-39CD-430C-82A3-67B6C658FF01}" name="法人／構成比" dataDxfId="28"/>
    <tableColumn id="16" xr3:uid="{E73EBBC3-BD06-4019-B465-46758D202972}" name="法人以外の団体／事業所数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3622C9B4-ABC4-45FB-B75F-57604CCEB729}" name="LTBL_12443" displayName="LTBL_12443" ref="B4:I20" totalsRowCount="1">
  <autoFilter ref="B4:I19" xr:uid="{3622C9B4-ABC4-45FB-B75F-57604CCEB729}"/>
  <tableColumns count="8">
    <tableColumn id="9" xr3:uid="{11277DC6-561F-4C95-BA40-0153EB76060D}" name="産業大分類" totalsRowLabel="合計" totalsRowDxfId="27"/>
    <tableColumn id="10" xr3:uid="{FF52DC10-F213-43BE-8A6E-ACB6C866E58E}" name="総数／事業所数" totalsRowFunction="custom" totalsRowDxfId="26" dataCellStyle="桁区切り" totalsRowCellStyle="桁区切り">
      <totalsRowFormula>SUM(LTBL_12443[総数／事業所数])</totalsRowFormula>
    </tableColumn>
    <tableColumn id="11" xr3:uid="{A060F019-E7BD-4BEF-8988-B95B0F89B288}" name="総数／構成比" dataDxfId="25"/>
    <tableColumn id="12" xr3:uid="{34421D3A-6FB0-4F4F-8C19-E7743641B0A1}" name="個人／事業所数" totalsRowFunction="sum" totalsRowDxfId="24" dataCellStyle="桁区切り" totalsRowCellStyle="桁区切り"/>
    <tableColumn id="13" xr3:uid="{5E885754-9FBF-4936-BB94-AB8CE29403DF}" name="個人／構成比" dataDxfId="23"/>
    <tableColumn id="14" xr3:uid="{58B30EC2-C188-4D29-A5F9-7E7BBC9D59D0}" name="法人／事業所数" totalsRowFunction="sum" totalsRowDxfId="22" dataCellStyle="桁区切り" totalsRowCellStyle="桁区切り"/>
    <tableColumn id="15" xr3:uid="{BAA7C830-4020-46F1-AF3E-DEE8B273627E}" name="法人／構成比" dataDxfId="21"/>
    <tableColumn id="16" xr3:uid="{BE7ADB0E-4723-4889-8079-36156EFA1D77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8124C1B7-D32D-4988-A011-4CA98CB5455E}" name="M_TABLE_12443" displayName="M_TABLE_12443" ref="B23:I51" totalsRowShown="0">
  <autoFilter ref="B23:I51" xr:uid="{8124C1B7-D32D-4988-A011-4CA98CB5455E}"/>
  <tableColumns count="8">
    <tableColumn id="9" xr3:uid="{B6280EF3-C770-4D1F-83CB-49284A06C48F}" name="産業中分類上位２０"/>
    <tableColumn id="10" xr3:uid="{1ED9EC2E-41E8-488A-B89E-65497D4312A3}" name="総数／事業所数" dataCellStyle="桁区切り"/>
    <tableColumn id="11" xr3:uid="{814284A5-0A1E-4BE1-99BE-C708265C4D4A}" name="総数／構成比" dataDxfId="19"/>
    <tableColumn id="12" xr3:uid="{3D7E53C1-85FA-4506-AE59-1E83B670F59A}" name="個人／事業所数" dataCellStyle="桁区切り"/>
    <tableColumn id="13" xr3:uid="{5888EDBA-DFBD-41D4-B713-34AA3DE791E0}" name="個人／構成比" dataDxfId="18"/>
    <tableColumn id="14" xr3:uid="{E8733AF0-CAA3-4317-9DB6-CBF7039F5B49}" name="法人／事業所数" dataCellStyle="桁区切り"/>
    <tableColumn id="15" xr3:uid="{8AE3A2A0-A20F-4A90-A0B7-AAFB2C1385E9}" name="法人／構成比" dataDxfId="17"/>
    <tableColumn id="16" xr3:uid="{CDA3FF97-4690-401C-86C1-70E3A9D23CC4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6254718-BE2A-4ED2-9B50-7FA45ED4A00A}" name="S_TABLE_12104" displayName="S_TABLE_12104" ref="B46:I66" totalsRowShown="0">
  <autoFilter ref="B46:I66" xr:uid="{26254718-BE2A-4ED2-9B50-7FA45ED4A00A}"/>
  <tableColumns count="8">
    <tableColumn id="9" xr3:uid="{AD05F3A2-E14E-416C-9699-F3FD0FBB0471}" name="産業小分類上位２０"/>
    <tableColumn id="10" xr3:uid="{BE562F68-913B-41DD-A0CE-6F5FA830F638}" name="総数／事業所数" dataCellStyle="桁区切り"/>
    <tableColumn id="11" xr3:uid="{C1350C80-8DA7-4224-8DDC-28B0C87C595D}" name="総数／構成比" dataDxfId="772"/>
    <tableColumn id="12" xr3:uid="{D8FB7FA5-2081-4049-83E8-8A85A9AD5676}" name="個人／事業所数" dataCellStyle="桁区切り"/>
    <tableColumn id="13" xr3:uid="{75B41347-0AB1-425D-B059-356F16E4E409}" name="個人／構成比" dataDxfId="771"/>
    <tableColumn id="14" xr3:uid="{2523D9E5-0233-4AF7-9E66-DDFF5AC101B7}" name="法人／事業所数" dataCellStyle="桁区切り"/>
    <tableColumn id="15" xr3:uid="{72DDE836-0000-4091-A8B8-3CE0AFE8583C}" name="法人／構成比" dataDxfId="770"/>
    <tableColumn id="16" xr3:uid="{79A44360-A32E-4DFA-A422-28B4CC429E9B}" name="法人以外の団体／事業所数" dataCellStyle="桁区切り"/>
  </tableColumns>
  <tableStyleInfo name="TableStyleMedium9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77600074-699D-4789-9CAA-9B4D5CF51267}" name="S_TABLE_12443" displayName="S_TABLE_12443" ref="B54:I84" totalsRowShown="0">
  <autoFilter ref="B54:I84" xr:uid="{77600074-699D-4789-9CAA-9B4D5CF51267}"/>
  <tableColumns count="8">
    <tableColumn id="9" xr3:uid="{7BC978A2-E889-4575-8589-83E02B02CCCA}" name="産業小分類上位２０"/>
    <tableColumn id="10" xr3:uid="{6A9EC8E3-A51B-40EC-B4F3-098F5859EB6D}" name="総数／事業所数" dataCellStyle="桁区切り"/>
    <tableColumn id="11" xr3:uid="{7DE9B4B3-862E-4305-8987-A9CF91885141}" name="総数／構成比" dataDxfId="16"/>
    <tableColumn id="12" xr3:uid="{351FBB7D-6EAD-46D7-B305-8A0051A2C1B3}" name="個人／事業所数" dataCellStyle="桁区切り"/>
    <tableColumn id="13" xr3:uid="{69212450-AFD7-476A-B269-1849B15C2C17}" name="個人／構成比" dataDxfId="15"/>
    <tableColumn id="14" xr3:uid="{013E7864-88F6-4115-9C3B-8E66FA520C2E}" name="法人／事業所数" dataCellStyle="桁区切り"/>
    <tableColumn id="15" xr3:uid="{80025107-BD85-4A8E-BF28-791F63238325}" name="法人／構成比" dataDxfId="14"/>
    <tableColumn id="16" xr3:uid="{0E62B4E2-E4BE-4D36-80B1-5FCB471C7138}" name="法人以外の団体／事業所数" dataCellStyle="桁区切り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B2271F31-04D0-4E64-A922-ACF9D5A2CD00}" name="LTBL_12463" displayName="LTBL_12463" ref="B4:I20" totalsRowCount="1">
  <autoFilter ref="B4:I19" xr:uid="{B2271F31-04D0-4E64-A922-ACF9D5A2CD00}"/>
  <tableColumns count="8">
    <tableColumn id="9" xr3:uid="{70E54C02-3EF4-453D-B996-8F9BA289B589}" name="産業大分類" totalsRowLabel="合計" totalsRowDxfId="13"/>
    <tableColumn id="10" xr3:uid="{460C09DE-9025-4475-8F9E-D1255AD7FC71}" name="総数／事業所数" totalsRowFunction="custom" totalsRowDxfId="12" dataCellStyle="桁区切り" totalsRowCellStyle="桁区切り">
      <totalsRowFormula>SUM(LTBL_12463[総数／事業所数])</totalsRowFormula>
    </tableColumn>
    <tableColumn id="11" xr3:uid="{17A5A6EE-6157-432C-A789-ACC0EA4A3978}" name="総数／構成比" dataDxfId="11"/>
    <tableColumn id="12" xr3:uid="{6AD81CB7-2C13-4834-A6F4-1D926637DC02}" name="個人／事業所数" totalsRowFunction="sum" totalsRowDxfId="10" dataCellStyle="桁区切り" totalsRowCellStyle="桁区切り"/>
    <tableColumn id="13" xr3:uid="{3A5BB0E8-0E3D-44EE-9D64-5D07FBAD3710}" name="個人／構成比" dataDxfId="9"/>
    <tableColumn id="14" xr3:uid="{117FFD05-73FA-43ED-8A99-8C4B59A58ED8}" name="法人／事業所数" totalsRowFunction="sum" totalsRowDxfId="8" dataCellStyle="桁区切り" totalsRowCellStyle="桁区切り"/>
    <tableColumn id="15" xr3:uid="{9800BCF2-6923-43CF-BED2-2BBE0ED6038F}" name="法人／構成比" dataDxfId="7"/>
    <tableColumn id="16" xr3:uid="{B33ECD75-B9D7-4146-A537-29E2996560A4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E816815D-9332-4CD1-973D-D45343C4D675}" name="M_TABLE_12463" displayName="M_TABLE_12463" ref="B23:I53" totalsRowShown="0">
  <autoFilter ref="B23:I53" xr:uid="{E816815D-9332-4CD1-973D-D45343C4D675}"/>
  <tableColumns count="8">
    <tableColumn id="9" xr3:uid="{00B2B509-A19A-46B1-8706-2A12DFAAF9DD}" name="産業中分類上位２０"/>
    <tableColumn id="10" xr3:uid="{B4B686FE-B47D-459E-BD69-B2BF5690D2F6}" name="総数／事業所数" dataCellStyle="桁区切り"/>
    <tableColumn id="11" xr3:uid="{A2FCBDF1-E86C-40B0-B313-2A2D5E93E344}" name="総数／構成比" dataDxfId="5"/>
    <tableColumn id="12" xr3:uid="{BD2E622D-C3A8-4E10-84E3-91D5200B13AA}" name="個人／事業所数" dataCellStyle="桁区切り"/>
    <tableColumn id="13" xr3:uid="{4AED6808-02FB-4E82-968C-FB06BB5867F5}" name="個人／構成比" dataDxfId="4"/>
    <tableColumn id="14" xr3:uid="{5A167850-97A5-43B2-B698-B687264C69BD}" name="法人／事業所数" dataCellStyle="桁区切り"/>
    <tableColumn id="15" xr3:uid="{42ACFAC9-8869-403A-88F2-4BC8AA3178A4}" name="法人／構成比" dataDxfId="3"/>
    <tableColumn id="16" xr3:uid="{525F5C36-0421-48D9-B34A-B5925C7EA44E}" name="法人以外の団体／事業所数" dataCellStyle="桁区切り"/>
  </tableColumns>
  <tableStyleInfo name="TableStyleMedium9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02CA0075-4A72-434A-9B73-502B6F4130FF}" name="S_TABLE_12463" displayName="S_TABLE_12463" ref="B56:I81" totalsRowShown="0">
  <autoFilter ref="B56:I81" xr:uid="{02CA0075-4A72-434A-9B73-502B6F4130FF}"/>
  <tableColumns count="8">
    <tableColumn id="9" xr3:uid="{49295BC8-4388-48D8-999A-4114E35788D3}" name="産業小分類上位２０"/>
    <tableColumn id="10" xr3:uid="{EED00277-E0C6-42E7-A451-FFC8611C9DEB}" name="総数／事業所数" dataCellStyle="桁区切り"/>
    <tableColumn id="11" xr3:uid="{FDBC1F5C-29AD-4A8E-9770-40882EAC11F8}" name="総数／構成比" dataDxfId="2"/>
    <tableColumn id="12" xr3:uid="{7DC88BB9-A37E-470B-9919-BC45FF4112F3}" name="個人／事業所数" dataCellStyle="桁区切り"/>
    <tableColumn id="13" xr3:uid="{9D065FEB-5507-47BD-8E55-44FD1FAA57F0}" name="個人／構成比" dataDxfId="1"/>
    <tableColumn id="14" xr3:uid="{6A7F8529-274B-43F9-91FA-8D9E0839B8B0}" name="法人／事業所数" dataCellStyle="桁区切り"/>
    <tableColumn id="15" xr3:uid="{ABEED529-36AF-4BE1-8BC5-18856311E8D1}" name="法人／構成比" dataDxfId="0"/>
    <tableColumn id="16" xr3:uid="{F98C4AA7-C496-4435-9A17-12A41635995B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638DEE2-DD7A-460E-864B-5B1D8D977B48}" name="LTBL_12105" displayName="LTBL_12105" ref="B4:I20" totalsRowCount="1">
  <autoFilter ref="B4:I19" xr:uid="{2638DEE2-DD7A-460E-864B-5B1D8D977B48}"/>
  <tableColumns count="8">
    <tableColumn id="9" xr3:uid="{4ED26627-3849-4F82-BC50-E692769DDC2B}" name="産業大分類" totalsRowLabel="合計" totalsRowDxfId="769"/>
    <tableColumn id="10" xr3:uid="{D5B76EB6-591C-4030-8F0C-9D429A79C04C}" name="総数／事業所数" totalsRowFunction="custom" totalsRowDxfId="768" dataCellStyle="桁区切り" totalsRowCellStyle="桁区切り">
      <totalsRowFormula>SUM(LTBL_12105[総数／事業所数])</totalsRowFormula>
    </tableColumn>
    <tableColumn id="11" xr3:uid="{D35351E5-F289-49B9-95C5-0D63E657697F}" name="総数／構成比" dataDxfId="767"/>
    <tableColumn id="12" xr3:uid="{00B3EEB6-2E66-4D9E-8B3E-0FD91FAAE40F}" name="個人／事業所数" totalsRowFunction="sum" totalsRowDxfId="766" dataCellStyle="桁区切り" totalsRowCellStyle="桁区切り"/>
    <tableColumn id="13" xr3:uid="{2C9AA06E-4A39-469B-83C6-07AE407C3737}" name="個人／構成比" dataDxfId="765"/>
    <tableColumn id="14" xr3:uid="{80FB43AA-4E62-4E72-B39E-D24B4BB98A3C}" name="法人／事業所数" totalsRowFunction="sum" totalsRowDxfId="764" dataCellStyle="桁区切り" totalsRowCellStyle="桁区切り"/>
    <tableColumn id="15" xr3:uid="{88C71CCF-A015-4599-B1D0-CAE0625AE015}" name="法人／構成比" dataDxfId="763"/>
    <tableColumn id="16" xr3:uid="{F1B9E2C4-321E-4A53-A945-2EFC1F2C0DDC}" name="法人以外の団体／事業所数" totalsRowFunction="sum" totalsRowDxfId="762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1E34DE-CDC2-4389-900D-9EC6EFD0A579}" name="M_TABLE_12000" displayName="M_TABLE_12000" ref="B23:I43" totalsRowShown="0">
  <autoFilter ref="B23:I43" xr:uid="{981E34DE-CDC2-4389-900D-9EC6EFD0A579}"/>
  <tableColumns count="8">
    <tableColumn id="9" xr3:uid="{5CF0D6E9-3DAB-4A29-AA0D-9CF76110A40C}" name="産業中分類上位２０"/>
    <tableColumn id="10" xr3:uid="{8952D1AF-91E9-4268-9F19-92742E06E33F}" name="総数／事業所数" dataCellStyle="桁区切り"/>
    <tableColumn id="11" xr3:uid="{A9CFF026-94C2-416F-9086-ECC522EFAAA4}" name="総数／構成比" dataDxfId="845"/>
    <tableColumn id="12" xr3:uid="{11E69099-5D41-4C02-87F9-D15F31C98BFF}" name="個人／事業所数" dataCellStyle="桁区切り"/>
    <tableColumn id="13" xr3:uid="{2A703B14-16C9-431C-9669-BB7068163C8F}" name="個人／構成比" dataDxfId="844"/>
    <tableColumn id="14" xr3:uid="{E873E333-3FA5-49D5-8FE0-EF53EEBB3CAC}" name="法人／事業所数" dataCellStyle="桁区切り"/>
    <tableColumn id="15" xr3:uid="{5C2264FE-5543-4389-8FF7-A6413FE565E0}" name="法人／構成比" dataDxfId="843"/>
    <tableColumn id="16" xr3:uid="{7B7DD1D0-A5BB-4037-A3A9-CF78320264BB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054451C-CEEC-4676-ABE0-205A55D5CE59}" name="M_TABLE_12105" displayName="M_TABLE_12105" ref="B23:I45" totalsRowShown="0">
  <autoFilter ref="B23:I45" xr:uid="{1054451C-CEEC-4676-ABE0-205A55D5CE59}"/>
  <tableColumns count="8">
    <tableColumn id="9" xr3:uid="{007451C2-DBB3-40B2-8BC5-2DD3E6D51C8E}" name="産業中分類上位２０"/>
    <tableColumn id="10" xr3:uid="{B066CD2C-2773-49A4-8B4C-F97D1304B449}" name="総数／事業所数" dataCellStyle="桁区切り"/>
    <tableColumn id="11" xr3:uid="{6E0C5CB5-49B4-4D38-9EB9-F7FB53C15E78}" name="総数／構成比" dataDxfId="761"/>
    <tableColumn id="12" xr3:uid="{E80BBA6A-CA98-49C5-948E-45833255A450}" name="個人／事業所数" dataCellStyle="桁区切り"/>
    <tableColumn id="13" xr3:uid="{78A5DCD9-6F7B-4C91-820E-CB2C98E4D306}" name="個人／構成比" dataDxfId="760"/>
    <tableColumn id="14" xr3:uid="{72600EEB-112D-4A8B-93E1-EC25FE400E13}" name="法人／事業所数" dataCellStyle="桁区切り"/>
    <tableColumn id="15" xr3:uid="{723A6CAE-2436-4CFE-8181-DDE273EC1031}" name="法人／構成比" dataDxfId="759"/>
    <tableColumn id="16" xr3:uid="{BB94E524-A7AA-4734-A853-5A7200534688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999D9C9-16F6-4EC2-9915-06FA56A56209}" name="S_TABLE_12105" displayName="S_TABLE_12105" ref="B48:I71" totalsRowShown="0">
  <autoFilter ref="B48:I71" xr:uid="{3999D9C9-16F6-4EC2-9915-06FA56A56209}"/>
  <tableColumns count="8">
    <tableColumn id="9" xr3:uid="{FEFB42E2-A5CB-47CE-B532-6AE3436D8EF1}" name="産業小分類上位２０"/>
    <tableColumn id="10" xr3:uid="{DAAA9453-619A-41CA-A27B-CE6CFE2F133C}" name="総数／事業所数" dataCellStyle="桁区切り"/>
    <tableColumn id="11" xr3:uid="{7FC20196-00D8-4C0F-A00B-D2D1B9A82FB8}" name="総数／構成比" dataDxfId="758"/>
    <tableColumn id="12" xr3:uid="{759336D9-12F5-4010-A6EB-78D399C99D7E}" name="個人／事業所数" dataCellStyle="桁区切り"/>
    <tableColumn id="13" xr3:uid="{CE4BD6D2-5D96-456C-A6CB-5F9DA610956C}" name="個人／構成比" dataDxfId="757"/>
    <tableColumn id="14" xr3:uid="{3B81792E-9CF4-4DDF-821F-2783345536F6}" name="法人／事業所数" dataCellStyle="桁区切り"/>
    <tableColumn id="15" xr3:uid="{735A5797-B274-445E-9CE1-C696F27517DF}" name="法人／構成比" dataDxfId="756"/>
    <tableColumn id="16" xr3:uid="{93F458E9-6F55-4B8F-869F-139D831BAAF1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01795A6-25A6-455C-97ED-FAA1BCC25D3F}" name="LTBL_12106" displayName="LTBL_12106" ref="B4:I20" totalsRowCount="1">
  <autoFilter ref="B4:I19" xr:uid="{C01795A6-25A6-455C-97ED-FAA1BCC25D3F}"/>
  <tableColumns count="8">
    <tableColumn id="9" xr3:uid="{73B04285-6C99-4731-B463-D58FAF00449A}" name="産業大分類" totalsRowLabel="合計" totalsRowDxfId="755"/>
    <tableColumn id="10" xr3:uid="{96EB4D88-4AA5-4763-A28E-49AFB7D64B4F}" name="総数／事業所数" totalsRowFunction="custom" totalsRowDxfId="754" dataCellStyle="桁区切り" totalsRowCellStyle="桁区切り">
      <totalsRowFormula>SUM(LTBL_12106[総数／事業所数])</totalsRowFormula>
    </tableColumn>
    <tableColumn id="11" xr3:uid="{ABC23CF2-4F87-4C8D-B5E8-708D8EE8FBFF}" name="総数／構成比" dataDxfId="753"/>
    <tableColumn id="12" xr3:uid="{EF96F5B7-60AF-42E5-8FC1-93A31A35BC35}" name="個人／事業所数" totalsRowFunction="sum" totalsRowDxfId="752" dataCellStyle="桁区切り" totalsRowCellStyle="桁区切り"/>
    <tableColumn id="13" xr3:uid="{5F50963F-6D2F-418B-BE9A-E1592D471964}" name="個人／構成比" dataDxfId="751"/>
    <tableColumn id="14" xr3:uid="{CA481934-D2ED-48A1-BE11-391F9C62D9B3}" name="法人／事業所数" totalsRowFunction="sum" totalsRowDxfId="750" dataCellStyle="桁区切り" totalsRowCellStyle="桁区切り"/>
    <tableColumn id="15" xr3:uid="{59AD11C0-9620-4F59-A3C4-523A49938AE5}" name="法人／構成比" dataDxfId="749"/>
    <tableColumn id="16" xr3:uid="{C487C407-BCC9-42A4-BEDB-C67D0C622430}" name="法人以外の団体／事業所数" totalsRowFunction="sum" totalsRowDxfId="748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474B721-E478-4914-A018-7EEBB5702729}" name="M_TABLE_12106" displayName="M_TABLE_12106" ref="B23:I44" totalsRowShown="0">
  <autoFilter ref="B23:I44" xr:uid="{C474B721-E478-4914-A018-7EEBB5702729}"/>
  <tableColumns count="8">
    <tableColumn id="9" xr3:uid="{630DB34D-F8A8-4840-9E31-A53415C17BCA}" name="産業中分類上位２０"/>
    <tableColumn id="10" xr3:uid="{7398BAA6-7C90-4181-9BC3-A0180DB7017E}" name="総数／事業所数" dataCellStyle="桁区切り"/>
    <tableColumn id="11" xr3:uid="{12AFA81E-9B93-45A5-83D6-360096413EE0}" name="総数／構成比" dataDxfId="747"/>
    <tableColumn id="12" xr3:uid="{FF920D4F-D3A4-4CFA-8B50-4E4E7BB6B7C9}" name="個人／事業所数" dataCellStyle="桁区切り"/>
    <tableColumn id="13" xr3:uid="{5BCD81CF-C53C-4DAE-AAAF-AC67C1934FD5}" name="個人／構成比" dataDxfId="746"/>
    <tableColumn id="14" xr3:uid="{89E9BB8D-0D03-41F5-A6BB-95BBA72C948A}" name="法人／事業所数" dataCellStyle="桁区切り"/>
    <tableColumn id="15" xr3:uid="{126645EE-A9F2-44C0-BC9E-0885AE3BC01D}" name="法人／構成比" dataDxfId="745"/>
    <tableColumn id="16" xr3:uid="{3E7C9484-8F9F-491E-9573-0239C07E8BDA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23D3FC2-C3B7-4052-BA0D-B24D44BDC9CD}" name="S_TABLE_12106" displayName="S_TABLE_12106" ref="B47:I67" totalsRowShown="0">
  <autoFilter ref="B47:I67" xr:uid="{923D3FC2-C3B7-4052-BA0D-B24D44BDC9CD}"/>
  <tableColumns count="8">
    <tableColumn id="9" xr3:uid="{4A7E75A5-9C50-4F30-8982-B8542F2D34D8}" name="産業小分類上位２０"/>
    <tableColumn id="10" xr3:uid="{45675151-5F03-43CC-8A74-AE01B7AF7C04}" name="総数／事業所数" dataCellStyle="桁区切り"/>
    <tableColumn id="11" xr3:uid="{C9AF3878-16ED-45A5-A298-D5D0F52E9E5C}" name="総数／構成比" dataDxfId="744"/>
    <tableColumn id="12" xr3:uid="{763A0D92-504B-413C-8AB5-224F436573B0}" name="個人／事業所数" dataCellStyle="桁区切り"/>
    <tableColumn id="13" xr3:uid="{15BA4E7D-0257-4EEF-8DD0-F18A6B27C8A9}" name="個人／構成比" dataDxfId="743"/>
    <tableColumn id="14" xr3:uid="{2147CDB8-8EB0-4132-870E-FF2815BEF9D0}" name="法人／事業所数" dataCellStyle="桁区切り"/>
    <tableColumn id="15" xr3:uid="{E86B7C03-332F-4C9F-A8B2-A3E8FF4CA057}" name="法人／構成比" dataDxfId="742"/>
    <tableColumn id="16" xr3:uid="{2E32A736-9BA0-467A-B59F-4F23AD0770EB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211F46D-CC94-4949-BE0D-141AA1577E94}" name="LTBL_12202" displayName="LTBL_12202" ref="B4:I20" totalsRowCount="1">
  <autoFilter ref="B4:I19" xr:uid="{9211F46D-CC94-4949-BE0D-141AA1577E94}"/>
  <tableColumns count="8">
    <tableColumn id="9" xr3:uid="{235FE068-75A2-44C6-9CED-A083C101379E}" name="産業大分類" totalsRowLabel="合計" totalsRowDxfId="741"/>
    <tableColumn id="10" xr3:uid="{2363AAE3-FE29-4504-878C-0AAF23223671}" name="総数／事業所数" totalsRowFunction="custom" totalsRowDxfId="740" dataCellStyle="桁区切り" totalsRowCellStyle="桁区切り">
      <totalsRowFormula>SUM(LTBL_12202[総数／事業所数])</totalsRowFormula>
    </tableColumn>
    <tableColumn id="11" xr3:uid="{956075B7-7761-40EB-98E4-D1FE3B96714B}" name="総数／構成比" dataDxfId="739"/>
    <tableColumn id="12" xr3:uid="{667D66FE-C942-4F86-BCF0-D222DEACB3A1}" name="個人／事業所数" totalsRowFunction="sum" totalsRowDxfId="738" dataCellStyle="桁区切り" totalsRowCellStyle="桁区切り"/>
    <tableColumn id="13" xr3:uid="{06DFEB5C-7BE2-4F0E-885E-D5FDA854B17E}" name="個人／構成比" dataDxfId="737"/>
    <tableColumn id="14" xr3:uid="{CEF48D0A-E72F-4BC0-B29C-C807A41DEF97}" name="法人／事業所数" totalsRowFunction="sum" totalsRowDxfId="736" dataCellStyle="桁区切り" totalsRowCellStyle="桁区切り"/>
    <tableColumn id="15" xr3:uid="{2CB91063-8EB4-4D07-89D0-9FF3980C0B02}" name="法人／構成比" dataDxfId="735"/>
    <tableColumn id="16" xr3:uid="{3636FDBC-27D8-4BC9-9DF8-E97630CAA589}" name="法人以外の団体／事業所数" totalsRowFunction="sum" totalsRowDxfId="734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D8FBBC3-68C0-48BB-B4DF-CD925BB65C20}" name="M_TABLE_12202" displayName="M_TABLE_12202" ref="B23:I43" totalsRowShown="0">
  <autoFilter ref="B23:I43" xr:uid="{AD8FBBC3-68C0-48BB-B4DF-CD925BB65C20}"/>
  <tableColumns count="8">
    <tableColumn id="9" xr3:uid="{DEF71CAA-0157-484D-9461-BFFAD81C7CCA}" name="産業中分類上位２０"/>
    <tableColumn id="10" xr3:uid="{259C5C25-7A47-4219-AB23-87D5713B890F}" name="総数／事業所数" dataCellStyle="桁区切り"/>
    <tableColumn id="11" xr3:uid="{DA6AD85B-3B1E-4F7D-85D2-A8A7A80A50C6}" name="総数／構成比" dataDxfId="733"/>
    <tableColumn id="12" xr3:uid="{54B1BD57-F843-4D43-B23D-9B4F037A7B6D}" name="個人／事業所数" dataCellStyle="桁区切り"/>
    <tableColumn id="13" xr3:uid="{AEB3C560-E403-4C6E-9F1A-CE0E523856EE}" name="個人／構成比" dataDxfId="732"/>
    <tableColumn id="14" xr3:uid="{1CC685BF-31A5-41F9-8CAD-5368F52A06C5}" name="法人／事業所数" dataCellStyle="桁区切り"/>
    <tableColumn id="15" xr3:uid="{3369B686-02D5-4E25-847F-9F0344E65D8A}" name="法人／構成比" dataDxfId="731"/>
    <tableColumn id="16" xr3:uid="{3A258977-8871-405E-B242-63459FD2100C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4109225-D2F0-4792-86DC-B46E0ABEDC5A}" name="S_TABLE_12202" displayName="S_TABLE_12202" ref="B46:I68" totalsRowShown="0">
  <autoFilter ref="B46:I68" xr:uid="{D4109225-D2F0-4792-86DC-B46E0ABEDC5A}"/>
  <tableColumns count="8">
    <tableColumn id="9" xr3:uid="{856D60EE-E6B8-4616-A8D8-2A5DC795988B}" name="産業小分類上位２０"/>
    <tableColumn id="10" xr3:uid="{4C570EDE-F4F2-4995-B212-0085E48BA76A}" name="総数／事業所数" dataCellStyle="桁区切り"/>
    <tableColumn id="11" xr3:uid="{EDF4D79E-DC98-416D-AA44-89344419C62A}" name="総数／構成比" dataDxfId="730"/>
    <tableColumn id="12" xr3:uid="{91C7B52B-4551-4915-907A-74B33301AEAD}" name="個人／事業所数" dataCellStyle="桁区切り"/>
    <tableColumn id="13" xr3:uid="{B28C5A44-1A0D-48AD-8A61-B546A3209F7E}" name="個人／構成比" dataDxfId="729"/>
    <tableColumn id="14" xr3:uid="{68691DAC-150C-4717-9E6C-7BFC693A016B}" name="法人／事業所数" dataCellStyle="桁区切り"/>
    <tableColumn id="15" xr3:uid="{E3058A7F-5DE1-47D8-A1CE-311E1DD842D5}" name="法人／構成比" dataDxfId="728"/>
    <tableColumn id="16" xr3:uid="{36312B51-5CA6-46BF-90E1-74636A35125C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5340A00-5BF3-401C-BBBA-53AAF3C3D00C}" name="LTBL_12203" displayName="LTBL_12203" ref="B4:I20" totalsRowCount="1">
  <autoFilter ref="B4:I19" xr:uid="{05340A00-5BF3-401C-BBBA-53AAF3C3D00C}"/>
  <tableColumns count="8">
    <tableColumn id="9" xr3:uid="{599CFC6E-D886-432C-AB21-3FDB80C755BF}" name="産業大分類" totalsRowLabel="合計" totalsRowDxfId="727"/>
    <tableColumn id="10" xr3:uid="{261A5CDB-A6DB-4A83-89D1-316C0685A47C}" name="総数／事業所数" totalsRowFunction="custom" totalsRowDxfId="726" dataCellStyle="桁区切り" totalsRowCellStyle="桁区切り">
      <totalsRowFormula>SUM(LTBL_12203[総数／事業所数])</totalsRowFormula>
    </tableColumn>
    <tableColumn id="11" xr3:uid="{FEA0CC49-791E-4B50-B023-74A3394A2EAD}" name="総数／構成比" dataDxfId="725"/>
    <tableColumn id="12" xr3:uid="{00148067-F067-4D10-8C63-5AFE268C8DFD}" name="個人／事業所数" totalsRowFunction="sum" totalsRowDxfId="724" dataCellStyle="桁区切り" totalsRowCellStyle="桁区切り"/>
    <tableColumn id="13" xr3:uid="{F5A51C2F-6196-4D81-9C04-5B6DC6896897}" name="個人／構成比" dataDxfId="723"/>
    <tableColumn id="14" xr3:uid="{2DAB27C4-A228-4852-A4A6-D7CA766FE1D5}" name="法人／事業所数" totalsRowFunction="sum" totalsRowDxfId="722" dataCellStyle="桁区切り" totalsRowCellStyle="桁区切り"/>
    <tableColumn id="15" xr3:uid="{71447DD7-8AAA-4B45-865A-F7898B15D4E3}" name="法人／構成比" dataDxfId="721"/>
    <tableColumn id="16" xr3:uid="{A48F2514-BA10-4912-AA91-C6F8F084DDC8}" name="法人以外の団体／事業所数" totalsRowFunction="sum" totalsRowDxfId="720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FE82658-1FC2-4D81-9196-04733F0F3FC1}" name="M_TABLE_12203" displayName="M_TABLE_12203" ref="B23:I43" totalsRowShown="0">
  <autoFilter ref="B23:I43" xr:uid="{9FE82658-1FC2-4D81-9196-04733F0F3FC1}"/>
  <tableColumns count="8">
    <tableColumn id="9" xr3:uid="{58CDDAF9-594A-4538-B23E-7DE980AFCC53}" name="産業中分類上位２０"/>
    <tableColumn id="10" xr3:uid="{7329A0AA-B6C4-4739-B5CA-9F36C53AC083}" name="総数／事業所数" dataCellStyle="桁区切り"/>
    <tableColumn id="11" xr3:uid="{3844C899-0B13-450B-8696-AB8214966B56}" name="総数／構成比" dataDxfId="719"/>
    <tableColumn id="12" xr3:uid="{7852058A-5233-450B-94F2-AB6A81A2C005}" name="個人／事業所数" dataCellStyle="桁区切り"/>
    <tableColumn id="13" xr3:uid="{26301B76-67F6-4C75-AD9A-1C28ECECB736}" name="個人／構成比" dataDxfId="718"/>
    <tableColumn id="14" xr3:uid="{25437C15-D92B-40B3-B204-63F867B59E05}" name="法人／事業所数" dataCellStyle="桁区切り"/>
    <tableColumn id="15" xr3:uid="{FD89362F-1241-41FF-8F8F-BE1EED9AC240}" name="法人／構成比" dataDxfId="717"/>
    <tableColumn id="16" xr3:uid="{62CE5CB7-AC4E-4027-8D74-C2F5316A8F0B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E849AA5-3BDC-40E0-B62E-CE6BFC3E15DD}" name="S_TABLE_12000" displayName="S_TABLE_12000" ref="B46:I66" totalsRowShown="0">
  <autoFilter ref="B46:I66" xr:uid="{7E849AA5-3BDC-40E0-B62E-CE6BFC3E15DD}"/>
  <tableColumns count="8">
    <tableColumn id="9" xr3:uid="{B553070F-DB31-4D93-A6F5-1B67C2E0B111}" name="産業小分類上位２０"/>
    <tableColumn id="10" xr3:uid="{02F5AA33-79E4-4D29-B8C7-DECF276DDF51}" name="総数／事業所数" dataCellStyle="桁区切り"/>
    <tableColumn id="11" xr3:uid="{A8FA6126-5240-40D0-909B-6729C2A10ED2}" name="総数／構成比" dataDxfId="842"/>
    <tableColumn id="12" xr3:uid="{9026560E-60AD-4D85-9446-09E007651212}" name="個人／事業所数" dataCellStyle="桁区切り"/>
    <tableColumn id="13" xr3:uid="{69616F13-CC97-4E29-A9C8-FDCFFCF70C6F}" name="個人／構成比" dataDxfId="841"/>
    <tableColumn id="14" xr3:uid="{99503EA4-A7DC-47F8-A0C7-6CD50F9B2FF5}" name="法人／事業所数" dataCellStyle="桁区切り"/>
    <tableColumn id="15" xr3:uid="{ED331370-79A4-4D84-AA72-426F1FBF358C}" name="法人／構成比" dataDxfId="840"/>
    <tableColumn id="16" xr3:uid="{9351D4B5-0027-4017-91AA-7A45B7E02C37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9E9BBD5-14F1-4953-8C5A-D9C2B432149C}" name="S_TABLE_12203" displayName="S_TABLE_12203" ref="B46:I66" totalsRowShown="0">
  <autoFilter ref="B46:I66" xr:uid="{A9E9BBD5-14F1-4953-8C5A-D9C2B432149C}"/>
  <tableColumns count="8">
    <tableColumn id="9" xr3:uid="{24771D44-61F3-4E91-B1D7-F104166810E7}" name="産業小分類上位２０"/>
    <tableColumn id="10" xr3:uid="{CA88B30F-D1A2-4741-9AAF-75E7EA35B31E}" name="総数／事業所数" dataCellStyle="桁区切り"/>
    <tableColumn id="11" xr3:uid="{41E7BC57-96E5-492A-8DA0-90A183800632}" name="総数／構成比" dataDxfId="716"/>
    <tableColumn id="12" xr3:uid="{1AB4131E-D62E-4727-863D-D72D15DB66D5}" name="個人／事業所数" dataCellStyle="桁区切り"/>
    <tableColumn id="13" xr3:uid="{B233A433-A1C0-488E-9248-8A4267A6259F}" name="個人／構成比" dataDxfId="715"/>
    <tableColumn id="14" xr3:uid="{D81D2D22-8ED1-4DE6-9A48-6CEA6477EE7A}" name="法人／事業所数" dataCellStyle="桁区切り"/>
    <tableColumn id="15" xr3:uid="{60DD00C1-A915-4014-8402-E56EA80CD3A2}" name="法人／構成比" dataDxfId="714"/>
    <tableColumn id="16" xr3:uid="{347604A4-19EE-43D7-844B-BC54BA5936EA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21C8A660-7845-4D9C-9CE9-7158CAE7E5F9}" name="LTBL_12204" displayName="LTBL_12204" ref="B4:I20" totalsRowCount="1">
  <autoFilter ref="B4:I19" xr:uid="{21C8A660-7845-4D9C-9CE9-7158CAE7E5F9}"/>
  <tableColumns count="8">
    <tableColumn id="9" xr3:uid="{6811AE9F-84D4-4BF3-8D3B-0531C9D7DB0A}" name="産業大分類" totalsRowLabel="合計" totalsRowDxfId="713"/>
    <tableColumn id="10" xr3:uid="{5C3C9708-91AE-4F06-92D8-361DEEF39D51}" name="総数／事業所数" totalsRowFunction="custom" totalsRowDxfId="712" dataCellStyle="桁区切り" totalsRowCellStyle="桁区切り">
      <totalsRowFormula>SUM(LTBL_12204[総数／事業所数])</totalsRowFormula>
    </tableColumn>
    <tableColumn id="11" xr3:uid="{7AD524A1-2729-4238-A93A-A2C2BD273953}" name="総数／構成比" dataDxfId="711"/>
    <tableColumn id="12" xr3:uid="{5E7880E8-1F3D-4DEE-AD5F-DDA2C2D876DE}" name="個人／事業所数" totalsRowFunction="sum" totalsRowDxfId="710" dataCellStyle="桁区切り" totalsRowCellStyle="桁区切り"/>
    <tableColumn id="13" xr3:uid="{327CE994-59FB-4D2B-B6C6-0EBC6A2AA11A}" name="個人／構成比" dataDxfId="709"/>
    <tableColumn id="14" xr3:uid="{AF201262-4D9E-45C3-A7EB-1FF937027FC7}" name="法人／事業所数" totalsRowFunction="sum" totalsRowDxfId="708" dataCellStyle="桁区切り" totalsRowCellStyle="桁区切り"/>
    <tableColumn id="15" xr3:uid="{487F14B8-9AF3-4D4B-AED1-AAFED9B8C497}" name="法人／構成比" dataDxfId="707"/>
    <tableColumn id="16" xr3:uid="{D80B6938-AAAB-4A31-AA5F-914307122C37}" name="法人以外の団体／事業所数" totalsRowFunction="sum" totalsRowDxfId="706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B860ECBD-3D69-4DFD-A7D1-2C1790243A0D}" name="M_TABLE_12204" displayName="M_TABLE_12204" ref="B23:I43" totalsRowShown="0">
  <autoFilter ref="B23:I43" xr:uid="{B860ECBD-3D69-4DFD-A7D1-2C1790243A0D}"/>
  <tableColumns count="8">
    <tableColumn id="9" xr3:uid="{5C1B749B-FE6A-46D6-BA26-6C9E69A08A80}" name="産業中分類上位２０"/>
    <tableColumn id="10" xr3:uid="{74A34264-1DC7-464F-BBAA-1788F0E05B80}" name="総数／事業所数" dataCellStyle="桁区切り"/>
    <tableColumn id="11" xr3:uid="{4830A289-9D0C-49FF-80A1-52F0F4ADF894}" name="総数／構成比" dataDxfId="705"/>
    <tableColumn id="12" xr3:uid="{71A192C7-898E-48EE-81A3-41C3489E0640}" name="個人／事業所数" dataCellStyle="桁区切り"/>
    <tableColumn id="13" xr3:uid="{9AB0B61D-1EC3-4F20-99FC-30A1D3FB78CD}" name="個人／構成比" dataDxfId="704"/>
    <tableColumn id="14" xr3:uid="{E6127FEB-F2DE-475D-B991-FDE0051C3757}" name="法人／事業所数" dataCellStyle="桁区切り"/>
    <tableColumn id="15" xr3:uid="{D762C995-55FB-46A7-A752-51841C23CE31}" name="法人／構成比" dataDxfId="703"/>
    <tableColumn id="16" xr3:uid="{79DF2639-07A9-4F2E-9347-E3034ED92C28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6B73578-B6B6-4CFD-9EE1-7AD60A98E133}" name="S_TABLE_12204" displayName="S_TABLE_12204" ref="B46:I66" totalsRowShown="0">
  <autoFilter ref="B46:I66" xr:uid="{A6B73578-B6B6-4CFD-9EE1-7AD60A98E133}"/>
  <tableColumns count="8">
    <tableColumn id="9" xr3:uid="{A53C8C6D-82C1-4865-B8C8-BED66623FCD9}" name="産業小分類上位２０"/>
    <tableColumn id="10" xr3:uid="{8860BE0D-B1E6-489B-99E8-697FDD92A29E}" name="総数／事業所数" dataCellStyle="桁区切り"/>
    <tableColumn id="11" xr3:uid="{B8B8B6D1-E624-434B-B82A-6EE51B960312}" name="総数／構成比" dataDxfId="702"/>
    <tableColumn id="12" xr3:uid="{757497B9-DF57-4489-ABDE-6C829F893F64}" name="個人／事業所数" dataCellStyle="桁区切り"/>
    <tableColumn id="13" xr3:uid="{90044C22-25D1-4076-A228-4A8954817387}" name="個人／構成比" dataDxfId="701"/>
    <tableColumn id="14" xr3:uid="{6EF4C4FC-25DE-426C-9885-5540EFDEB535}" name="法人／事業所数" dataCellStyle="桁区切り"/>
    <tableColumn id="15" xr3:uid="{BEA706F8-38CD-410D-B3B5-8A5FB85496E4}" name="法人／構成比" dataDxfId="700"/>
    <tableColumn id="16" xr3:uid="{F6C7013F-29A6-4B81-942F-95C91ECF26F3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F5453C4-9B8B-4039-9D91-F426DBEBF4C8}" name="LTBL_12205" displayName="LTBL_12205" ref="B4:I20" totalsRowCount="1">
  <autoFilter ref="B4:I19" xr:uid="{9F5453C4-9B8B-4039-9D91-F426DBEBF4C8}"/>
  <tableColumns count="8">
    <tableColumn id="9" xr3:uid="{1E872E69-284A-4F00-92E2-91A51D07BCE1}" name="産業大分類" totalsRowLabel="合計" totalsRowDxfId="699"/>
    <tableColumn id="10" xr3:uid="{1FFE6A3E-F5EF-4A80-AC41-01DE87024368}" name="総数／事業所数" totalsRowFunction="custom" totalsRowDxfId="698" dataCellStyle="桁区切り" totalsRowCellStyle="桁区切り">
      <totalsRowFormula>SUM(LTBL_12205[総数／事業所数])</totalsRowFormula>
    </tableColumn>
    <tableColumn id="11" xr3:uid="{233AB650-53A6-4106-A619-EF62FD643CB9}" name="総数／構成比" dataDxfId="697"/>
    <tableColumn id="12" xr3:uid="{080E1AB2-238D-4336-BE5B-45D01BEEC333}" name="個人／事業所数" totalsRowFunction="sum" totalsRowDxfId="696" dataCellStyle="桁区切り" totalsRowCellStyle="桁区切り"/>
    <tableColumn id="13" xr3:uid="{BF3141B5-DBC1-4996-A3A9-19A27F2E1D91}" name="個人／構成比" dataDxfId="695"/>
    <tableColumn id="14" xr3:uid="{6825D78A-1A10-4041-ABF3-1B99692503B5}" name="法人／事業所数" totalsRowFunction="sum" totalsRowDxfId="694" dataCellStyle="桁区切り" totalsRowCellStyle="桁区切り"/>
    <tableColumn id="15" xr3:uid="{E84821D8-DC08-4612-A3C3-683F5E4A1C64}" name="法人／構成比" dataDxfId="693"/>
    <tableColumn id="16" xr3:uid="{E385FE73-257C-4643-94E1-1CAB2A6B0DB5}" name="法人以外の団体／事業所数" totalsRowFunction="sum" totalsRowDxfId="692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60B9898C-EB9C-426B-93A1-796524B9B98B}" name="M_TABLE_12205" displayName="M_TABLE_12205" ref="B23:I43" totalsRowShown="0">
  <autoFilter ref="B23:I43" xr:uid="{60B9898C-EB9C-426B-93A1-796524B9B98B}"/>
  <tableColumns count="8">
    <tableColumn id="9" xr3:uid="{5435492F-AAA5-492D-B51B-B2103CAFAB82}" name="産業中分類上位２０"/>
    <tableColumn id="10" xr3:uid="{8D45E834-FE0F-46C5-BAD2-44FBF34CEC50}" name="総数／事業所数" dataCellStyle="桁区切り"/>
    <tableColumn id="11" xr3:uid="{C8BA7861-795F-4785-8316-DD750E52227A}" name="総数／構成比" dataDxfId="691"/>
    <tableColumn id="12" xr3:uid="{51480AB8-FBD3-45A5-8D4B-0CF692CA92AA}" name="個人／事業所数" dataCellStyle="桁区切り"/>
    <tableColumn id="13" xr3:uid="{1AD85A2A-51B1-48D6-A7A9-3EB541C1CEC6}" name="個人／構成比" dataDxfId="690"/>
    <tableColumn id="14" xr3:uid="{88B2056B-FDE3-4E32-8F4D-32FCFF354D2E}" name="法人／事業所数" dataCellStyle="桁区切り"/>
    <tableColumn id="15" xr3:uid="{E1E33F78-C547-46FE-BD29-4AC2898C1A69}" name="法人／構成比" dataDxfId="689"/>
    <tableColumn id="16" xr3:uid="{BB463A97-856B-4C48-BBAE-DF102C3342E8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23EA55AE-8C65-4D21-9005-7C2E2AAB0F1F}" name="S_TABLE_12205" displayName="S_TABLE_12205" ref="B46:I66" totalsRowShown="0">
  <autoFilter ref="B46:I66" xr:uid="{23EA55AE-8C65-4D21-9005-7C2E2AAB0F1F}"/>
  <tableColumns count="8">
    <tableColumn id="9" xr3:uid="{3A48FD63-7D20-4F31-B246-D9716A704723}" name="産業小分類上位２０"/>
    <tableColumn id="10" xr3:uid="{AA67451F-9E48-40F7-A688-2F8468FF1131}" name="総数／事業所数" dataCellStyle="桁区切り"/>
    <tableColumn id="11" xr3:uid="{28271756-DA28-4868-8A0D-31F7A4C1234B}" name="総数／構成比" dataDxfId="688"/>
    <tableColumn id="12" xr3:uid="{F819320D-852B-4B22-A46A-B460D5A7F476}" name="個人／事業所数" dataCellStyle="桁区切り"/>
    <tableColumn id="13" xr3:uid="{0D3D9CE2-AC02-4105-B60A-9EFD2ED303AB}" name="個人／構成比" dataDxfId="687"/>
    <tableColumn id="14" xr3:uid="{CA849B35-518A-4B7E-8EAF-ACC6A1E30D1D}" name="法人／事業所数" dataCellStyle="桁区切り"/>
    <tableColumn id="15" xr3:uid="{2B383BC9-ADE6-4DC2-9F9B-D1945C481CA1}" name="法人／構成比" dataDxfId="686"/>
    <tableColumn id="16" xr3:uid="{5AC00C00-3BF0-47E9-B313-AF5FDE88E1A0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6F7C6C7C-4482-48A1-9B5B-E4278534944D}" name="LTBL_12206" displayName="LTBL_12206" ref="B4:I20" totalsRowCount="1">
  <autoFilter ref="B4:I19" xr:uid="{6F7C6C7C-4482-48A1-9B5B-E4278534944D}"/>
  <tableColumns count="8">
    <tableColumn id="9" xr3:uid="{E6A18316-E4E6-4290-94BA-A5031D670113}" name="産業大分類" totalsRowLabel="合計" totalsRowDxfId="685"/>
    <tableColumn id="10" xr3:uid="{CC4EF50C-A7AB-45B7-927C-4F96FB917A47}" name="総数／事業所数" totalsRowFunction="custom" totalsRowDxfId="684" dataCellStyle="桁区切り" totalsRowCellStyle="桁区切り">
      <totalsRowFormula>SUM(LTBL_12206[総数／事業所数])</totalsRowFormula>
    </tableColumn>
    <tableColumn id="11" xr3:uid="{233712DE-0636-432E-81AB-DFD40A11FB82}" name="総数／構成比" dataDxfId="683"/>
    <tableColumn id="12" xr3:uid="{2B8137B5-93D6-4D6C-BCB0-E1E5CD4B23DF}" name="個人／事業所数" totalsRowFunction="sum" totalsRowDxfId="682" dataCellStyle="桁区切り" totalsRowCellStyle="桁区切り"/>
    <tableColumn id="13" xr3:uid="{45E1048F-935D-486E-B411-F975CB4FC8E0}" name="個人／構成比" dataDxfId="681"/>
    <tableColumn id="14" xr3:uid="{73C33C71-969E-4227-8613-DDF18F22D82B}" name="法人／事業所数" totalsRowFunction="sum" totalsRowDxfId="680" dataCellStyle="桁区切り" totalsRowCellStyle="桁区切り"/>
    <tableColumn id="15" xr3:uid="{8B321FF5-28F6-44A8-8360-463F965861B9}" name="法人／構成比" dataDxfId="679"/>
    <tableColumn id="16" xr3:uid="{17C51C09-3EBE-4439-9153-21984F777CD3}" name="法人以外の団体／事業所数" totalsRowFunction="sum" totalsRowDxfId="678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D4C06B8-DF5C-4EEC-82CC-49D3545B04F2}" name="M_TABLE_12206" displayName="M_TABLE_12206" ref="B23:I43" totalsRowShown="0">
  <autoFilter ref="B23:I43" xr:uid="{5D4C06B8-DF5C-4EEC-82CC-49D3545B04F2}"/>
  <tableColumns count="8">
    <tableColumn id="9" xr3:uid="{1C444C59-58E2-4BB1-B63A-40358DB0C6F0}" name="産業中分類上位２０"/>
    <tableColumn id="10" xr3:uid="{6E164804-B16F-4583-B06A-AEBA068DB3B2}" name="総数／事業所数" dataCellStyle="桁区切り"/>
    <tableColumn id="11" xr3:uid="{B7EF53EE-2F5E-4ACC-A775-532447C9DE83}" name="総数／構成比" dataDxfId="677"/>
    <tableColumn id="12" xr3:uid="{BB3A4B49-5826-4F65-AFE8-B3DD2B465FE5}" name="個人／事業所数" dataCellStyle="桁区切り"/>
    <tableColumn id="13" xr3:uid="{B49F675C-5D19-4826-84AB-3A1CF06D21E5}" name="個人／構成比" dataDxfId="676"/>
    <tableColumn id="14" xr3:uid="{7571D605-36B1-4514-80C8-957ABC24CE36}" name="法人／事業所数" dataCellStyle="桁区切り"/>
    <tableColumn id="15" xr3:uid="{E1E08575-612F-43B8-9848-9B5D27591E09}" name="法人／構成比" dataDxfId="675"/>
    <tableColumn id="16" xr3:uid="{7B026325-E64C-4D20-8D0C-0C1B6D666BD2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2568DCA-A77A-4BC1-B90B-7A0D1C25042C}" name="S_TABLE_12206" displayName="S_TABLE_12206" ref="B46:I66" totalsRowShown="0">
  <autoFilter ref="B46:I66" xr:uid="{D2568DCA-A77A-4BC1-B90B-7A0D1C25042C}"/>
  <tableColumns count="8">
    <tableColumn id="9" xr3:uid="{9FB14F8B-223F-416B-9558-214F20638151}" name="産業小分類上位２０"/>
    <tableColumn id="10" xr3:uid="{96E6C49B-41ED-4189-AAA3-6755AE319C1E}" name="総数／事業所数" dataCellStyle="桁区切り"/>
    <tableColumn id="11" xr3:uid="{AF973AA8-69E2-46F8-A2F6-3D49F3036F09}" name="総数／構成比" dataDxfId="674"/>
    <tableColumn id="12" xr3:uid="{8518530C-7B3A-44FF-A49B-769374A2A11A}" name="個人／事業所数" dataCellStyle="桁区切り"/>
    <tableColumn id="13" xr3:uid="{B5317F9B-E51C-4001-BCC0-4232258CC191}" name="個人／構成比" dataDxfId="673"/>
    <tableColumn id="14" xr3:uid="{F8A1F56E-2282-49D4-BC02-8D8328B155A4}" name="法人／事業所数" dataCellStyle="桁区切り"/>
    <tableColumn id="15" xr3:uid="{C3AC5F53-94DF-4E23-8CA6-A18A03DA4224}" name="法人／構成比" dataDxfId="672"/>
    <tableColumn id="16" xr3:uid="{B7CA448D-6C8A-414F-ACCB-2A4B3D770DFB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0806B8B-4E9F-4E56-B9DE-201CE10CC074}" name="LTBL_12100" displayName="LTBL_12100" ref="B4:I20" totalsRowCount="1">
  <autoFilter ref="B4:I19" xr:uid="{C0806B8B-4E9F-4E56-B9DE-201CE10CC074}"/>
  <tableColumns count="8">
    <tableColumn id="9" xr3:uid="{39AC536D-548F-4FD9-92B9-4F15A7A76639}" name="産業大分類" totalsRowLabel="合計" totalsRowDxfId="839"/>
    <tableColumn id="10" xr3:uid="{6E4BA0E6-D5DB-4274-96F2-07069E94AC95}" name="総数／事業所数" totalsRowFunction="custom" totalsRowDxfId="838" dataCellStyle="桁区切り" totalsRowCellStyle="桁区切り">
      <totalsRowFormula>SUM(LTBL_12100[総数／事業所数])</totalsRowFormula>
    </tableColumn>
    <tableColumn id="11" xr3:uid="{C6EBB4C9-B745-4FF2-A11B-8FBE2140508D}" name="総数／構成比" dataDxfId="837"/>
    <tableColumn id="12" xr3:uid="{7EFEBF27-8FA9-4DCD-A4C2-64D3D1827B9F}" name="個人／事業所数" totalsRowFunction="sum" totalsRowDxfId="836" dataCellStyle="桁区切り" totalsRowCellStyle="桁区切り"/>
    <tableColumn id="13" xr3:uid="{1DC22599-66E7-4DD0-98DA-E96273EED443}" name="個人／構成比" dataDxfId="835"/>
    <tableColumn id="14" xr3:uid="{9A7716CF-8678-4EE1-9500-F8F7BA9D6C78}" name="法人／事業所数" totalsRowFunction="sum" totalsRowDxfId="834" dataCellStyle="桁区切り" totalsRowCellStyle="桁区切り"/>
    <tableColumn id="15" xr3:uid="{C05B6499-E44C-4685-9617-8C7B03D64301}" name="法人／構成比" dataDxfId="833"/>
    <tableColumn id="16" xr3:uid="{F215D6B6-81DC-4FC1-A6D2-77A433525D32}" name="法人以外の団体／事業所数" totalsRowFunction="sum" totalsRowDxfId="832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67F25C56-4672-4D01-9E88-B2F8D1413F17}" name="LTBL_12207" displayName="LTBL_12207" ref="B4:I20" totalsRowCount="1">
  <autoFilter ref="B4:I19" xr:uid="{67F25C56-4672-4D01-9E88-B2F8D1413F17}"/>
  <tableColumns count="8">
    <tableColumn id="9" xr3:uid="{0E796701-B876-408D-8818-8A88642CD93F}" name="産業大分類" totalsRowLabel="合計" totalsRowDxfId="671"/>
    <tableColumn id="10" xr3:uid="{B7B54C88-7468-4CE9-AFDB-47D26B30BF54}" name="総数／事業所数" totalsRowFunction="custom" totalsRowDxfId="670" dataCellStyle="桁区切り" totalsRowCellStyle="桁区切り">
      <totalsRowFormula>SUM(LTBL_12207[総数／事業所数])</totalsRowFormula>
    </tableColumn>
    <tableColumn id="11" xr3:uid="{1FC9BC72-ADCC-41C2-BA53-97403610ACFF}" name="総数／構成比" dataDxfId="669"/>
    <tableColumn id="12" xr3:uid="{1975E865-CF35-47B9-801B-AD5D0415A847}" name="個人／事業所数" totalsRowFunction="sum" totalsRowDxfId="668" dataCellStyle="桁区切り" totalsRowCellStyle="桁区切り"/>
    <tableColumn id="13" xr3:uid="{FA9514EF-871F-490C-8A69-03290A51673E}" name="個人／構成比" dataDxfId="667"/>
    <tableColumn id="14" xr3:uid="{F8C59102-0608-485D-AF0C-8A7AA9C7D46E}" name="法人／事業所数" totalsRowFunction="sum" totalsRowDxfId="666" dataCellStyle="桁区切り" totalsRowCellStyle="桁区切り"/>
    <tableColumn id="15" xr3:uid="{7FFB5D1D-8D22-458C-9E95-BCAB0893D5CC}" name="法人／構成比" dataDxfId="665"/>
    <tableColumn id="16" xr3:uid="{6DE0D0B9-ED2D-4E4D-86C1-764D27A04C89}" name="法人以外の団体／事業所数" totalsRowFunction="sum" totalsRowDxfId="664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658EC0A7-3D85-47FE-8D2D-E0F308E81BB8}" name="M_TABLE_12207" displayName="M_TABLE_12207" ref="B23:I43" totalsRowShown="0">
  <autoFilter ref="B23:I43" xr:uid="{658EC0A7-3D85-47FE-8D2D-E0F308E81BB8}"/>
  <tableColumns count="8">
    <tableColumn id="9" xr3:uid="{FBD0356E-B35A-4B8E-B79A-801B9F4B9A40}" name="産業中分類上位２０"/>
    <tableColumn id="10" xr3:uid="{A7F8ACB2-6719-43B2-97D1-D27F3DA23265}" name="総数／事業所数" dataCellStyle="桁区切り"/>
    <tableColumn id="11" xr3:uid="{0B1FC6C8-F6D9-4413-B0C0-A7EACBA2D692}" name="総数／構成比" dataDxfId="663"/>
    <tableColumn id="12" xr3:uid="{3F386DA9-594B-4D77-BF98-7A27F6320E93}" name="個人／事業所数" dataCellStyle="桁区切り"/>
    <tableColumn id="13" xr3:uid="{6DDF1133-05FA-4005-A1C8-1F5B95942FA5}" name="個人／構成比" dataDxfId="662"/>
    <tableColumn id="14" xr3:uid="{B6FD2715-487B-4AA1-A29D-E0AEDADF55E8}" name="法人／事業所数" dataCellStyle="桁区切り"/>
    <tableColumn id="15" xr3:uid="{3AA9CE6B-516E-400D-B2C6-57DCE387EC06}" name="法人／構成比" dataDxfId="661"/>
    <tableColumn id="16" xr3:uid="{761AA27D-F21B-4E92-849A-A7870CFC0820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FF1369E-6815-468A-9011-2860F83E2D46}" name="S_TABLE_12207" displayName="S_TABLE_12207" ref="B46:I66" totalsRowShown="0">
  <autoFilter ref="B46:I66" xr:uid="{9FF1369E-6815-468A-9011-2860F83E2D46}"/>
  <tableColumns count="8">
    <tableColumn id="9" xr3:uid="{6A798586-C1F7-4BF1-9B97-E04B17EFD481}" name="産業小分類上位２０"/>
    <tableColumn id="10" xr3:uid="{1996F458-3D35-4347-B54C-525F6A4E0388}" name="総数／事業所数" dataCellStyle="桁区切り"/>
    <tableColumn id="11" xr3:uid="{6574FE30-8519-42FB-A272-64D0AA07E4CA}" name="総数／構成比" dataDxfId="660"/>
    <tableColumn id="12" xr3:uid="{E0F81BA6-E65B-4F6F-BA77-BBED43D4ED7E}" name="個人／事業所数" dataCellStyle="桁区切り"/>
    <tableColumn id="13" xr3:uid="{108426F3-634D-4BA2-8E3A-B07C4BAB4AFA}" name="個人／構成比" dataDxfId="659"/>
    <tableColumn id="14" xr3:uid="{CC3B6C1B-CBBB-4C54-ABD5-A5C033D7C8B0}" name="法人／事業所数" dataCellStyle="桁区切り"/>
    <tableColumn id="15" xr3:uid="{680BACCB-C4DE-48C1-9AEB-AA6F785CD4CB}" name="法人／構成比" dataDxfId="658"/>
    <tableColumn id="16" xr3:uid="{C9D8C3D6-8930-4C31-9EE9-09BAFAF6F8FB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DCEEE14-3BB7-4D18-A5D5-3136A6AFA083}" name="LTBL_12208" displayName="LTBL_12208" ref="B4:I20" totalsRowCount="1">
  <autoFilter ref="B4:I19" xr:uid="{3DCEEE14-3BB7-4D18-A5D5-3136A6AFA083}"/>
  <tableColumns count="8">
    <tableColumn id="9" xr3:uid="{01CC251E-427D-49A2-964C-0EA07EC8D3A8}" name="産業大分類" totalsRowLabel="合計" totalsRowDxfId="657"/>
    <tableColumn id="10" xr3:uid="{A391DF59-40CD-45DB-9C16-BF785FACF7A5}" name="総数／事業所数" totalsRowFunction="custom" totalsRowDxfId="656" dataCellStyle="桁区切り" totalsRowCellStyle="桁区切り">
      <totalsRowFormula>SUM(LTBL_12208[総数／事業所数])</totalsRowFormula>
    </tableColumn>
    <tableColumn id="11" xr3:uid="{E70B7683-F64D-4525-AB37-AECB95A138E7}" name="総数／構成比" dataDxfId="655"/>
    <tableColumn id="12" xr3:uid="{66573692-4ADA-4BD0-96CC-250BE86EF277}" name="個人／事業所数" totalsRowFunction="sum" totalsRowDxfId="654" dataCellStyle="桁区切り" totalsRowCellStyle="桁区切り"/>
    <tableColumn id="13" xr3:uid="{F7876ACC-BD21-40CA-9625-CC5F94C7EA44}" name="個人／構成比" dataDxfId="653"/>
    <tableColumn id="14" xr3:uid="{1727F525-0D08-4A10-9511-292C2AFA5D5A}" name="法人／事業所数" totalsRowFunction="sum" totalsRowDxfId="652" dataCellStyle="桁区切り" totalsRowCellStyle="桁区切り"/>
    <tableColumn id="15" xr3:uid="{9D53F3A6-742C-415A-9CC6-8ECAC38ACF52}" name="法人／構成比" dataDxfId="651"/>
    <tableColumn id="16" xr3:uid="{221988D8-18B3-44C9-B7F0-8D1D95D417A8}" name="法人以外の団体／事業所数" totalsRowFunction="sum" totalsRowDxfId="650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95C1F67-C251-4CCD-BEEE-BA5D2A06BADC}" name="M_TABLE_12208" displayName="M_TABLE_12208" ref="B23:I43" totalsRowShown="0">
  <autoFilter ref="B23:I43" xr:uid="{195C1F67-C251-4CCD-BEEE-BA5D2A06BADC}"/>
  <tableColumns count="8">
    <tableColumn id="9" xr3:uid="{89C81EDF-D68A-4F5F-AD72-68F47E076602}" name="産業中分類上位２０"/>
    <tableColumn id="10" xr3:uid="{82DCF13B-2EF3-4206-A357-24A32C38BC0E}" name="総数／事業所数" dataCellStyle="桁区切り"/>
    <tableColumn id="11" xr3:uid="{E664728F-0FBD-472A-B41C-329FA55F4400}" name="総数／構成比" dataDxfId="649"/>
    <tableColumn id="12" xr3:uid="{3F0812EB-FC73-42C2-97B0-FEEE6C0F0623}" name="個人／事業所数" dataCellStyle="桁区切り"/>
    <tableColumn id="13" xr3:uid="{E24561D8-6237-41CC-82F7-BCBE40021CF7}" name="個人／構成比" dataDxfId="648"/>
    <tableColumn id="14" xr3:uid="{E3CB162A-E23D-4887-8812-EC195A7A4CE7}" name="法人／事業所数" dataCellStyle="桁区切り"/>
    <tableColumn id="15" xr3:uid="{DCD68EEB-409C-4B0B-B3A2-F21FEA06C865}" name="法人／構成比" dataDxfId="647"/>
    <tableColumn id="16" xr3:uid="{023BD461-6568-48E7-89A6-73596FAFC012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981808D-8C97-48E9-9193-F1587E7BF376}" name="S_TABLE_12208" displayName="S_TABLE_12208" ref="B46:I68" totalsRowShown="0">
  <autoFilter ref="B46:I68" xr:uid="{9981808D-8C97-48E9-9193-F1587E7BF376}"/>
  <tableColumns count="8">
    <tableColumn id="9" xr3:uid="{AC6C7FEE-1462-41C8-A350-B707898EE548}" name="産業小分類上位２０"/>
    <tableColumn id="10" xr3:uid="{AF71A8B0-D8DF-4136-99A9-3CD069D7069A}" name="総数／事業所数" dataCellStyle="桁区切り"/>
    <tableColumn id="11" xr3:uid="{E7657093-0DB8-45DF-AE8D-5F7B328A8AC1}" name="総数／構成比" dataDxfId="646"/>
    <tableColumn id="12" xr3:uid="{DB8CC925-2436-4928-A3D9-7896C8912817}" name="個人／事業所数" dataCellStyle="桁区切り"/>
    <tableColumn id="13" xr3:uid="{D0EA7995-9E12-42D3-93A8-DC04BD502D0A}" name="個人／構成比" dataDxfId="645"/>
    <tableColumn id="14" xr3:uid="{1141617A-1907-4F07-9054-0ECDDB5CED0F}" name="法人／事業所数" dataCellStyle="桁区切り"/>
    <tableColumn id="15" xr3:uid="{06077FCF-028D-41E1-9654-E6689AB6D7FB}" name="法人／構成比" dataDxfId="644"/>
    <tableColumn id="16" xr3:uid="{3C71CDB2-7DDF-4AC0-8D36-AE6E334F4FB7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C8802AA-0A16-4FDF-9AB8-18C72C99DF5A}" name="LTBL_12210" displayName="LTBL_12210" ref="B4:I20" totalsRowCount="1">
  <autoFilter ref="B4:I19" xr:uid="{AC8802AA-0A16-4FDF-9AB8-18C72C99DF5A}"/>
  <tableColumns count="8">
    <tableColumn id="9" xr3:uid="{852DDC3D-D95E-4C58-BCE5-5D1BB21986C6}" name="産業大分類" totalsRowLabel="合計" totalsRowDxfId="643"/>
    <tableColumn id="10" xr3:uid="{6E1148C5-2D3D-4954-8D15-1D424644B163}" name="総数／事業所数" totalsRowFunction="custom" totalsRowDxfId="642" dataCellStyle="桁区切り" totalsRowCellStyle="桁区切り">
      <totalsRowFormula>SUM(LTBL_12210[総数／事業所数])</totalsRowFormula>
    </tableColumn>
    <tableColumn id="11" xr3:uid="{404E3E31-1B8B-410B-88B8-834A55140900}" name="総数／構成比" dataDxfId="641"/>
    <tableColumn id="12" xr3:uid="{21533465-C9C7-4063-BAF4-B99649BE6CC0}" name="個人／事業所数" totalsRowFunction="sum" totalsRowDxfId="640" dataCellStyle="桁区切り" totalsRowCellStyle="桁区切り"/>
    <tableColumn id="13" xr3:uid="{E58FF3A4-53B0-45ED-BFC7-509E43A49263}" name="個人／構成比" dataDxfId="639"/>
    <tableColumn id="14" xr3:uid="{41960A5C-690B-48E2-9CFF-93E0871CE6BC}" name="法人／事業所数" totalsRowFunction="sum" totalsRowDxfId="638" dataCellStyle="桁区切り" totalsRowCellStyle="桁区切り"/>
    <tableColumn id="15" xr3:uid="{91DDDEE2-216E-4DD7-BDF2-029FAC85F45B}" name="法人／構成比" dataDxfId="637"/>
    <tableColumn id="16" xr3:uid="{3431DC90-702C-4747-B1AB-06CF36CD9753}" name="法人以外の団体／事業所数" totalsRowFunction="sum" totalsRowDxfId="636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91AC6EF-60BB-485C-A3CD-0F446A098B69}" name="M_TABLE_12210" displayName="M_TABLE_12210" ref="B23:I43" totalsRowShown="0">
  <autoFilter ref="B23:I43" xr:uid="{E91AC6EF-60BB-485C-A3CD-0F446A098B69}"/>
  <tableColumns count="8">
    <tableColumn id="9" xr3:uid="{1A3D99A4-B9F1-4878-AFBC-2E176FDBD6CA}" name="産業中分類上位２０"/>
    <tableColumn id="10" xr3:uid="{99BC5DB4-5C08-48B7-9656-B7EA32CAE1BB}" name="総数／事業所数" dataCellStyle="桁区切り"/>
    <tableColumn id="11" xr3:uid="{BB9C7F97-5421-4E30-A45C-86BF32164FAD}" name="総数／構成比" dataDxfId="635"/>
    <tableColumn id="12" xr3:uid="{10754EF3-92FC-4116-8379-D0A75C078A8C}" name="個人／事業所数" dataCellStyle="桁区切り"/>
    <tableColumn id="13" xr3:uid="{9B313076-3B85-4612-8A2A-4084FCA7CD46}" name="個人／構成比" dataDxfId="634"/>
    <tableColumn id="14" xr3:uid="{1137AC22-9EBD-43F7-83AE-B4349DAFFDFF}" name="法人／事業所数" dataCellStyle="桁区切り"/>
    <tableColumn id="15" xr3:uid="{BE665063-DF1C-4263-A760-38897B1013A2}" name="法人／構成比" dataDxfId="633"/>
    <tableColumn id="16" xr3:uid="{28FB0425-EDD9-4E07-A51A-489ACC3F91A8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6767A4B1-8440-456C-9ECC-00D53A90986C}" name="S_TABLE_12210" displayName="S_TABLE_12210" ref="B46:I68" totalsRowShown="0">
  <autoFilter ref="B46:I68" xr:uid="{6767A4B1-8440-456C-9ECC-00D53A90986C}"/>
  <tableColumns count="8">
    <tableColumn id="9" xr3:uid="{DE87F2B6-89E3-4A12-9A98-A24AFD058CD8}" name="産業小分類上位２０"/>
    <tableColumn id="10" xr3:uid="{C2BE7CC0-C3F5-4E95-A952-B3CAF4F76CD6}" name="総数／事業所数" dataCellStyle="桁区切り"/>
    <tableColumn id="11" xr3:uid="{6753CD5F-5431-4BC3-AD84-910FB86A7333}" name="総数／構成比" dataDxfId="632"/>
    <tableColumn id="12" xr3:uid="{C0DA959C-1EF5-4282-91D5-E78B00E263C9}" name="個人／事業所数" dataCellStyle="桁区切り"/>
    <tableColumn id="13" xr3:uid="{BB859ABC-2724-4F13-9F7A-F72AE8027DFE}" name="個人／構成比" dataDxfId="631"/>
    <tableColumn id="14" xr3:uid="{858685BA-5A06-4708-B89E-10FCAB05AE75}" name="法人／事業所数" dataCellStyle="桁区切り"/>
    <tableColumn id="15" xr3:uid="{B77A71EB-F812-49EE-B4AD-C90BB258442B}" name="法人／構成比" dataDxfId="630"/>
    <tableColumn id="16" xr3:uid="{E9FB9B44-60EA-490C-AFC6-F12837CE9EC7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F3CD5C12-3EF8-4334-9475-AA5CDA1242CF}" name="LTBL_12211" displayName="LTBL_12211" ref="B4:I20" totalsRowCount="1">
  <autoFilter ref="B4:I19" xr:uid="{F3CD5C12-3EF8-4334-9475-AA5CDA1242CF}"/>
  <tableColumns count="8">
    <tableColumn id="9" xr3:uid="{1D451072-70B5-4336-9FB3-67FD6F104C6C}" name="産業大分類" totalsRowLabel="合計" totalsRowDxfId="629"/>
    <tableColumn id="10" xr3:uid="{CF52BAF0-5ED6-4F0D-80D3-E5BB7B9B4BE3}" name="総数／事業所数" totalsRowFunction="custom" totalsRowDxfId="628" dataCellStyle="桁区切り" totalsRowCellStyle="桁区切り">
      <totalsRowFormula>SUM(LTBL_12211[総数／事業所数])</totalsRowFormula>
    </tableColumn>
    <tableColumn id="11" xr3:uid="{8BF4871B-4BD3-41B5-804F-5AE167B3FC90}" name="総数／構成比" dataDxfId="627"/>
    <tableColumn id="12" xr3:uid="{EBECE8E5-2E76-4335-BB86-2366AD19D370}" name="個人／事業所数" totalsRowFunction="sum" totalsRowDxfId="626" dataCellStyle="桁区切り" totalsRowCellStyle="桁区切り"/>
    <tableColumn id="13" xr3:uid="{A73F9277-3D64-4AE2-944C-28424AF61B0C}" name="個人／構成比" dataDxfId="625"/>
    <tableColumn id="14" xr3:uid="{0DE90F59-6920-4560-AF97-45A7608E24CA}" name="法人／事業所数" totalsRowFunction="sum" totalsRowDxfId="624" dataCellStyle="桁区切り" totalsRowCellStyle="桁区切り"/>
    <tableColumn id="15" xr3:uid="{0B384CD7-3E3F-44D5-9C4A-193F8E2E5D1B}" name="法人／構成比" dataDxfId="623"/>
    <tableColumn id="16" xr3:uid="{6BE36A24-D30E-4D0D-8A36-881768AC399E}" name="法人以外の団体／事業所数" totalsRowFunction="sum" totalsRowDxfId="622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87B5475-E108-4D84-BEA6-03671C60FFDC}" name="M_TABLE_12100" displayName="M_TABLE_12100" ref="B23:I43" totalsRowShown="0">
  <autoFilter ref="B23:I43" xr:uid="{487B5475-E108-4D84-BEA6-03671C60FFDC}"/>
  <tableColumns count="8">
    <tableColumn id="9" xr3:uid="{61A8D498-B1FF-4174-83A1-143269678FE5}" name="産業中分類上位２０"/>
    <tableColumn id="10" xr3:uid="{CC0EBCD2-2A8C-4C7B-9373-2FB4F390CFF4}" name="総数／事業所数" dataCellStyle="桁区切り"/>
    <tableColumn id="11" xr3:uid="{9028D60C-D01C-470C-9001-2FD9915E2154}" name="総数／構成比" dataDxfId="831"/>
    <tableColumn id="12" xr3:uid="{326B169F-355A-46D7-A074-D9CF858E0E68}" name="個人／事業所数" dataCellStyle="桁区切り"/>
    <tableColumn id="13" xr3:uid="{863A9C46-965F-42DE-9E44-05F2CF04CB31}" name="個人／構成比" dataDxfId="830"/>
    <tableColumn id="14" xr3:uid="{28978527-601D-474E-813C-DA3855476D4D}" name="法人／事業所数" dataCellStyle="桁区切り"/>
    <tableColumn id="15" xr3:uid="{8EC05543-CCC4-4128-AF2A-3B2EF340E2C0}" name="法人／構成比" dataDxfId="829"/>
    <tableColumn id="16" xr3:uid="{AB74653C-B47C-4A45-9DD9-21E01A80E91F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F65A3E5-6B6A-4D9F-A9EB-ADBEEF14EF94}" name="M_TABLE_12211" displayName="M_TABLE_12211" ref="B23:I44" totalsRowShown="0">
  <autoFilter ref="B23:I44" xr:uid="{2F65A3E5-6B6A-4D9F-A9EB-ADBEEF14EF94}"/>
  <tableColumns count="8">
    <tableColumn id="9" xr3:uid="{B29C7E08-7656-4C91-9BD5-A5207AC0685E}" name="産業中分類上位２０"/>
    <tableColumn id="10" xr3:uid="{CC21FAD9-8856-4324-9D46-8403D2CC5075}" name="総数／事業所数" dataCellStyle="桁区切り"/>
    <tableColumn id="11" xr3:uid="{413AD5E1-619D-4F5D-A83E-327D95CC97FD}" name="総数／構成比" dataDxfId="621"/>
    <tableColumn id="12" xr3:uid="{0218146F-F6A3-4A67-8E1C-DFDBAB117685}" name="個人／事業所数" dataCellStyle="桁区切り"/>
    <tableColumn id="13" xr3:uid="{1E58AA56-C83D-4F8C-BB0C-8E8FAFB7E4DD}" name="個人／構成比" dataDxfId="620"/>
    <tableColumn id="14" xr3:uid="{5BC1F982-2CF1-441F-AFB8-FFCD8F36B997}" name="法人／事業所数" dataCellStyle="桁区切り"/>
    <tableColumn id="15" xr3:uid="{B6C80E86-7E71-425D-9085-AD275A1C843B}" name="法人／構成比" dataDxfId="619"/>
    <tableColumn id="16" xr3:uid="{0DF74125-7AC1-42BF-A8C8-E648A7C6D92F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D90DEBF-508A-4052-B445-3C485F720534}" name="S_TABLE_12211" displayName="S_TABLE_12211" ref="B47:I67" totalsRowShown="0">
  <autoFilter ref="B47:I67" xr:uid="{FD90DEBF-508A-4052-B445-3C485F720534}"/>
  <tableColumns count="8">
    <tableColumn id="9" xr3:uid="{B60507EA-CB3C-4042-BAAE-143015466843}" name="産業小分類上位２０"/>
    <tableColumn id="10" xr3:uid="{19F653C5-8BF4-4D3F-9119-C6A4FFB637A2}" name="総数／事業所数" dataCellStyle="桁区切り"/>
    <tableColumn id="11" xr3:uid="{C9701CD7-35C3-40D7-8E7A-7643C42E8683}" name="総数／構成比" dataDxfId="618"/>
    <tableColumn id="12" xr3:uid="{C652D3E4-1365-4918-BE5E-8FF39D44A57A}" name="個人／事業所数" dataCellStyle="桁区切り"/>
    <tableColumn id="13" xr3:uid="{070AC18B-BBD8-46BF-8B7E-14152957FC72}" name="個人／構成比" dataDxfId="617"/>
    <tableColumn id="14" xr3:uid="{EF2BF2CA-0CE8-44BF-8138-C08FB83896A2}" name="法人／事業所数" dataCellStyle="桁区切り"/>
    <tableColumn id="15" xr3:uid="{6115A9A5-C7CA-47F4-BA38-E22AA3C342A9}" name="法人／構成比" dataDxfId="616"/>
    <tableColumn id="16" xr3:uid="{163AC29F-72C5-43C3-9D2A-DC547DA511C9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2939639-EA05-4AF9-94B2-DA932C13895E}" name="LTBL_12212" displayName="LTBL_12212" ref="B4:I20" totalsRowCount="1">
  <autoFilter ref="B4:I19" xr:uid="{52939639-EA05-4AF9-94B2-DA932C13895E}"/>
  <tableColumns count="8">
    <tableColumn id="9" xr3:uid="{F2D51DED-A2CE-40AC-9847-952540CB4198}" name="産業大分類" totalsRowLabel="合計" totalsRowDxfId="615"/>
    <tableColumn id="10" xr3:uid="{619C4551-3B4F-457A-B446-9535000E6900}" name="総数／事業所数" totalsRowFunction="custom" totalsRowDxfId="614" dataCellStyle="桁区切り" totalsRowCellStyle="桁区切り">
      <totalsRowFormula>SUM(LTBL_12212[総数／事業所数])</totalsRowFormula>
    </tableColumn>
    <tableColumn id="11" xr3:uid="{D58821D0-3898-48A6-B91F-21567DBF4FB1}" name="総数／構成比" dataDxfId="613"/>
    <tableColumn id="12" xr3:uid="{01868785-6210-4712-AD20-E3BF00E24AEA}" name="個人／事業所数" totalsRowFunction="sum" totalsRowDxfId="612" dataCellStyle="桁区切り" totalsRowCellStyle="桁区切り"/>
    <tableColumn id="13" xr3:uid="{49B92CDD-11CE-4E36-9E53-D2783A04509C}" name="個人／構成比" dataDxfId="611"/>
    <tableColumn id="14" xr3:uid="{B253C612-C686-44CA-93B6-89DC84614CB3}" name="法人／事業所数" totalsRowFunction="sum" totalsRowDxfId="610" dataCellStyle="桁区切り" totalsRowCellStyle="桁区切り"/>
    <tableColumn id="15" xr3:uid="{AAE6BF01-54DC-42AE-AB5A-99347A3E80FF}" name="法人／構成比" dataDxfId="609"/>
    <tableColumn id="16" xr3:uid="{0E999F32-4A11-4558-A1D5-AD8D547B8BB2}" name="法人以外の団体／事業所数" totalsRowFunction="sum" totalsRowDxfId="608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567BC62D-BBA3-443F-8BC5-3C06CB2D86EC}" name="M_TABLE_12212" displayName="M_TABLE_12212" ref="B23:I44" totalsRowShown="0">
  <autoFilter ref="B23:I44" xr:uid="{567BC62D-BBA3-443F-8BC5-3C06CB2D86EC}"/>
  <tableColumns count="8">
    <tableColumn id="9" xr3:uid="{836DAC9A-4434-423A-8552-6F088E2EDA7B}" name="産業中分類上位２０"/>
    <tableColumn id="10" xr3:uid="{48E68280-453E-43B7-86BE-40B69F170CA5}" name="総数／事業所数" dataCellStyle="桁区切り"/>
    <tableColumn id="11" xr3:uid="{5BB51A53-B5FD-4C24-AC1D-74E464C8B7A6}" name="総数／構成比" dataDxfId="607"/>
    <tableColumn id="12" xr3:uid="{26F4D69B-C09A-456A-B168-ABD2A7129244}" name="個人／事業所数" dataCellStyle="桁区切り"/>
    <tableColumn id="13" xr3:uid="{F94C45C2-FEE1-4E89-AC02-B26A0EE2D9BF}" name="個人／構成比" dataDxfId="606"/>
    <tableColumn id="14" xr3:uid="{46264F1B-038B-4D78-BB84-A01ACCC0A7A0}" name="法人／事業所数" dataCellStyle="桁区切り"/>
    <tableColumn id="15" xr3:uid="{A5D10010-0AB2-46B4-9F6E-69913655AB43}" name="法人／構成比" dataDxfId="605"/>
    <tableColumn id="16" xr3:uid="{78F618FA-5803-4386-A95C-4B64718A13A0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898E451B-8753-4AC8-818E-8C6550040FC2}" name="S_TABLE_12212" displayName="S_TABLE_12212" ref="B47:I68" totalsRowShown="0">
  <autoFilter ref="B47:I68" xr:uid="{898E451B-8753-4AC8-818E-8C6550040FC2}"/>
  <tableColumns count="8">
    <tableColumn id="9" xr3:uid="{9A916266-A8A7-4748-A944-3E87513B86E3}" name="産業小分類上位２０"/>
    <tableColumn id="10" xr3:uid="{ECBAE1A4-28CB-490B-93B1-ED1150E42D20}" name="総数／事業所数" dataCellStyle="桁区切り"/>
    <tableColumn id="11" xr3:uid="{0CB39737-74A8-4655-BBC8-80F0D6CFDEA0}" name="総数／構成比" dataDxfId="604"/>
    <tableColumn id="12" xr3:uid="{048CB928-556B-4BA1-AA51-5681067815BA}" name="個人／事業所数" dataCellStyle="桁区切り"/>
    <tableColumn id="13" xr3:uid="{B6AA52F6-E92E-4782-93E6-1027E7F877B5}" name="個人／構成比" dataDxfId="603"/>
    <tableColumn id="14" xr3:uid="{81122A73-62FD-4225-8216-5BA497E4F233}" name="法人／事業所数" dataCellStyle="桁区切り"/>
    <tableColumn id="15" xr3:uid="{F3E37A86-32DD-4592-869C-C0709FF4FB3E}" name="法人／構成比" dataDxfId="602"/>
    <tableColumn id="16" xr3:uid="{B2B2CCC4-C81F-49FF-9D6B-2C0FDE7D8CBA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48E70C39-3F69-4D62-B2F7-A848EB7DEEE4}" name="LTBL_12213" displayName="LTBL_12213" ref="B4:I20" totalsRowCount="1">
  <autoFilter ref="B4:I19" xr:uid="{48E70C39-3F69-4D62-B2F7-A848EB7DEEE4}"/>
  <tableColumns count="8">
    <tableColumn id="9" xr3:uid="{C9CE5B52-CEB2-413A-B1AF-E3CECFAB4252}" name="産業大分類" totalsRowLabel="合計" totalsRowDxfId="601"/>
    <tableColumn id="10" xr3:uid="{E5931655-2E3F-4B83-9F20-563921FD2850}" name="総数／事業所数" totalsRowFunction="custom" totalsRowDxfId="600" dataCellStyle="桁区切り" totalsRowCellStyle="桁区切り">
      <totalsRowFormula>SUM(LTBL_12213[総数／事業所数])</totalsRowFormula>
    </tableColumn>
    <tableColumn id="11" xr3:uid="{3DC5ED02-75E3-45B2-8F2F-94BB034FB0EF}" name="総数／構成比" dataDxfId="599"/>
    <tableColumn id="12" xr3:uid="{D3F32762-E29F-4314-AED8-272FFF083B55}" name="個人／事業所数" totalsRowFunction="sum" totalsRowDxfId="598" dataCellStyle="桁区切り" totalsRowCellStyle="桁区切り"/>
    <tableColumn id="13" xr3:uid="{64581F17-01B2-45C4-94D6-3D757F417AEF}" name="個人／構成比" dataDxfId="597"/>
    <tableColumn id="14" xr3:uid="{182E6EA1-81BA-4D1F-9807-BB49318900FC}" name="法人／事業所数" totalsRowFunction="sum" totalsRowDxfId="596" dataCellStyle="桁区切り" totalsRowCellStyle="桁区切り"/>
    <tableColumn id="15" xr3:uid="{DDCBABA4-3CAB-4DE3-826C-2B892C5DCEF2}" name="法人／構成比" dataDxfId="595"/>
    <tableColumn id="16" xr3:uid="{9555DDDA-05C7-48B8-9DB7-34C45584B574}" name="法人以外の団体／事業所数" totalsRowFunction="sum" totalsRowDxfId="594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739C7BB-CA15-4236-9037-D2518918B22D}" name="M_TABLE_12213" displayName="M_TABLE_12213" ref="B23:I43" totalsRowShown="0">
  <autoFilter ref="B23:I43" xr:uid="{8739C7BB-CA15-4236-9037-D2518918B22D}"/>
  <tableColumns count="8">
    <tableColumn id="9" xr3:uid="{8A460C0A-87D9-441C-A502-2054DA780A44}" name="産業中分類上位２０"/>
    <tableColumn id="10" xr3:uid="{C3E3189F-5962-4C77-90EF-50EB2A5D2FD0}" name="総数／事業所数" dataCellStyle="桁区切り"/>
    <tableColumn id="11" xr3:uid="{83F1C868-79DD-4600-858A-30136E1AE94F}" name="総数／構成比" dataDxfId="593"/>
    <tableColumn id="12" xr3:uid="{5EBB2FB8-5780-4177-9AC4-AAAE8F03E95D}" name="個人／事業所数" dataCellStyle="桁区切り"/>
    <tableColumn id="13" xr3:uid="{FE7B94C4-509A-49A4-8B9D-5803E0DCF6BF}" name="個人／構成比" dataDxfId="592"/>
    <tableColumn id="14" xr3:uid="{ACEA48DB-DADC-43F3-8566-9BBE82D69DEB}" name="法人／事業所数" dataCellStyle="桁区切り"/>
    <tableColumn id="15" xr3:uid="{8F7FDF0A-B011-4965-8D94-D79BC05FF4D0}" name="法人／構成比" dataDxfId="591"/>
    <tableColumn id="16" xr3:uid="{E4F66309-6C53-45EF-A1A2-71CCE9501155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2BF9B69A-1AF6-402E-87A9-2A84570C9BA6}" name="S_TABLE_12213" displayName="S_TABLE_12213" ref="B46:I67" totalsRowShown="0">
  <autoFilter ref="B46:I67" xr:uid="{2BF9B69A-1AF6-402E-87A9-2A84570C9BA6}"/>
  <tableColumns count="8">
    <tableColumn id="9" xr3:uid="{2C790F78-7AD5-4645-AA94-78E322CA8E1B}" name="産業小分類上位２０"/>
    <tableColumn id="10" xr3:uid="{025767D9-6A26-4FC6-B8D4-5F2D4935E8C3}" name="総数／事業所数" dataCellStyle="桁区切り"/>
    <tableColumn id="11" xr3:uid="{177B67E8-A1CE-4E2B-84C2-7D7628915C87}" name="総数／構成比" dataDxfId="590"/>
    <tableColumn id="12" xr3:uid="{EB7F84F0-F0E3-43E3-BF15-BBD5BBA622A5}" name="個人／事業所数" dataCellStyle="桁区切り"/>
    <tableColumn id="13" xr3:uid="{4D72A56E-F9CB-4C22-A331-6FEC3235B784}" name="個人／構成比" dataDxfId="589"/>
    <tableColumn id="14" xr3:uid="{ACDFCE23-8F44-4042-8DA4-28FFA4C85C47}" name="法人／事業所数" dataCellStyle="桁区切り"/>
    <tableColumn id="15" xr3:uid="{C49117A4-A8C2-4F1F-A966-E76763868428}" name="法人／構成比" dataDxfId="588"/>
    <tableColumn id="16" xr3:uid="{B769CE0C-8A89-4A96-BA6E-0AD56A4E4752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41DD8050-43CF-4D32-8DC2-A105CA80B9FA}" name="LTBL_12215" displayName="LTBL_12215" ref="B4:I20" totalsRowCount="1">
  <autoFilter ref="B4:I19" xr:uid="{41DD8050-43CF-4D32-8DC2-A105CA80B9FA}"/>
  <tableColumns count="8">
    <tableColumn id="9" xr3:uid="{BEA86264-98D8-4B0E-BF6F-E89F72D11EFE}" name="産業大分類" totalsRowLabel="合計" totalsRowDxfId="587"/>
    <tableColumn id="10" xr3:uid="{7D81B179-E6BC-408F-956F-041B475E66A8}" name="総数／事業所数" totalsRowFunction="custom" totalsRowDxfId="586" dataCellStyle="桁区切り" totalsRowCellStyle="桁区切り">
      <totalsRowFormula>SUM(LTBL_12215[総数／事業所数])</totalsRowFormula>
    </tableColumn>
    <tableColumn id="11" xr3:uid="{2BAFE734-F1C0-4F7B-99CC-01EF0829D799}" name="総数／構成比" dataDxfId="585"/>
    <tableColumn id="12" xr3:uid="{2E51394D-4A92-4E3B-AEB0-A366E5FB0FB8}" name="個人／事業所数" totalsRowFunction="sum" totalsRowDxfId="584" dataCellStyle="桁区切り" totalsRowCellStyle="桁区切り"/>
    <tableColumn id="13" xr3:uid="{1DE9E20C-17CC-4846-B814-6BE08EFCCDC1}" name="個人／構成比" dataDxfId="583"/>
    <tableColumn id="14" xr3:uid="{40D3840F-714E-42A4-8938-E6B80B52A175}" name="法人／事業所数" totalsRowFunction="sum" totalsRowDxfId="582" dataCellStyle="桁区切り" totalsRowCellStyle="桁区切り"/>
    <tableColumn id="15" xr3:uid="{1F24E683-AC97-4066-8492-B3C1F43C3BC4}" name="法人／構成比" dataDxfId="581"/>
    <tableColumn id="16" xr3:uid="{02F520C8-6C90-4278-BEAA-2E5AD0F1CE33}" name="法人以外の団体／事業所数" totalsRowFunction="sum" totalsRowDxfId="580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F77811EA-442F-4180-BF62-DD122404286F}" name="M_TABLE_12215" displayName="M_TABLE_12215" ref="B23:I43" totalsRowShown="0">
  <autoFilter ref="B23:I43" xr:uid="{F77811EA-442F-4180-BF62-DD122404286F}"/>
  <tableColumns count="8">
    <tableColumn id="9" xr3:uid="{7B6D5308-A808-4F7C-8CAE-FF3C07142E14}" name="産業中分類上位２０"/>
    <tableColumn id="10" xr3:uid="{A23F39A2-7D87-442D-85DF-BE64371E1F7F}" name="総数／事業所数" dataCellStyle="桁区切り"/>
    <tableColumn id="11" xr3:uid="{16E4FA9B-78A7-411C-B8F4-636E3E2ED032}" name="総数／構成比" dataDxfId="579"/>
    <tableColumn id="12" xr3:uid="{D4C05AD1-9A0E-48D6-8A6F-886522070D1F}" name="個人／事業所数" dataCellStyle="桁区切り"/>
    <tableColumn id="13" xr3:uid="{82E7F974-0AD6-49C5-8678-CEC3E1A65473}" name="個人／構成比" dataDxfId="578"/>
    <tableColumn id="14" xr3:uid="{FF3D1107-3A95-4896-818B-11925E651DB9}" name="法人／事業所数" dataCellStyle="桁区切り"/>
    <tableColumn id="15" xr3:uid="{CDA7CEED-8E37-4E72-BBFB-5A0D0B9F2540}" name="法人／構成比" dataDxfId="577"/>
    <tableColumn id="16" xr3:uid="{CA65B671-6A8E-4C2D-94C1-223CFD6C2B75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3DA61CA-C1B7-4D56-BC0F-7D778DB38C80}" name="S_TABLE_12100" displayName="S_TABLE_12100" ref="B46:I66" totalsRowShown="0">
  <autoFilter ref="B46:I66" xr:uid="{A3DA61CA-C1B7-4D56-BC0F-7D778DB38C80}"/>
  <tableColumns count="8">
    <tableColumn id="9" xr3:uid="{4A7C0C97-0227-4290-9C27-745FCC0D4FBA}" name="産業小分類上位２０"/>
    <tableColumn id="10" xr3:uid="{146463D4-1363-45A6-BF5B-D6D61A6F7C64}" name="総数／事業所数" dataCellStyle="桁区切り"/>
    <tableColumn id="11" xr3:uid="{9530E1F1-957C-4401-8C5C-0DC08057D5DA}" name="総数／構成比" dataDxfId="828"/>
    <tableColumn id="12" xr3:uid="{588EAFF4-D8EA-46AA-A690-C6DC6C0A3BC5}" name="個人／事業所数" dataCellStyle="桁区切り"/>
    <tableColumn id="13" xr3:uid="{2A3B5DA1-2FE1-4A34-80C7-A37DD4CC3C46}" name="個人／構成比" dataDxfId="827"/>
    <tableColumn id="14" xr3:uid="{8CF523FE-3CB3-4F91-B725-F00EA7F786B1}" name="法人／事業所数" dataCellStyle="桁区切り"/>
    <tableColumn id="15" xr3:uid="{0FF3AE78-62C5-4D7B-A132-CD791B62D617}" name="法人／構成比" dataDxfId="826"/>
    <tableColumn id="16" xr3:uid="{7E4F8F28-9345-4ECD-B8B7-4BDD9271F1F7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A56427DC-553E-47B3-874E-00E3D4FD53C9}" name="S_TABLE_12215" displayName="S_TABLE_12215" ref="B46:I66" totalsRowShown="0">
  <autoFilter ref="B46:I66" xr:uid="{A56427DC-553E-47B3-874E-00E3D4FD53C9}"/>
  <tableColumns count="8">
    <tableColumn id="9" xr3:uid="{9877FA0D-10BE-43A0-B5E5-C50C8C96FFFC}" name="産業小分類上位２０"/>
    <tableColumn id="10" xr3:uid="{6F9D23C0-E982-410B-B56D-94492C0B81D3}" name="総数／事業所数" dataCellStyle="桁区切り"/>
    <tableColumn id="11" xr3:uid="{11C49CF4-5E59-47A3-BC87-BCDC946034CA}" name="総数／構成比" dataDxfId="576"/>
    <tableColumn id="12" xr3:uid="{78B54C14-D31E-4DF0-9CDF-0A59DC04414A}" name="個人／事業所数" dataCellStyle="桁区切り"/>
    <tableColumn id="13" xr3:uid="{4D719CDC-7BFF-4A8B-8FB7-6236DC7D9E31}" name="個人／構成比" dataDxfId="575"/>
    <tableColumn id="14" xr3:uid="{62817ADA-81BF-4A93-9DC1-52287B210606}" name="法人／事業所数" dataCellStyle="桁区切り"/>
    <tableColumn id="15" xr3:uid="{47C98F87-EF72-4591-A263-D87B46922272}" name="法人／構成比" dataDxfId="574"/>
    <tableColumn id="16" xr3:uid="{8F172607-52A3-4BAC-A56F-49FE060490F7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6956706-69D8-4B93-AEFE-029C2E35E53B}" name="LTBL_12216" displayName="LTBL_12216" ref="B4:I20" totalsRowCount="1">
  <autoFilter ref="B4:I19" xr:uid="{F6956706-69D8-4B93-AEFE-029C2E35E53B}"/>
  <tableColumns count="8">
    <tableColumn id="9" xr3:uid="{7FB01316-CD7E-4D69-B229-6706347242F8}" name="産業大分類" totalsRowLabel="合計" totalsRowDxfId="573"/>
    <tableColumn id="10" xr3:uid="{3C1FB7C7-DD1B-4466-9958-A25102A4AA31}" name="総数／事業所数" totalsRowFunction="custom" totalsRowDxfId="572" dataCellStyle="桁区切り" totalsRowCellStyle="桁区切り">
      <totalsRowFormula>SUM(LTBL_12216[総数／事業所数])</totalsRowFormula>
    </tableColumn>
    <tableColumn id="11" xr3:uid="{644CB91E-8348-4DAD-93C9-8D731314A6E4}" name="総数／構成比" dataDxfId="571"/>
    <tableColumn id="12" xr3:uid="{0F4DEB49-39EC-487C-BB05-3357C2300B1E}" name="個人／事業所数" totalsRowFunction="sum" totalsRowDxfId="570" dataCellStyle="桁区切り" totalsRowCellStyle="桁区切り"/>
    <tableColumn id="13" xr3:uid="{6D793671-47B6-43C8-8743-CB3F82B7ACC0}" name="個人／構成比" dataDxfId="569"/>
    <tableColumn id="14" xr3:uid="{F6E531CA-CB69-4B69-8349-F8CA67BEFFAE}" name="法人／事業所数" totalsRowFunction="sum" totalsRowDxfId="568" dataCellStyle="桁区切り" totalsRowCellStyle="桁区切り"/>
    <tableColumn id="15" xr3:uid="{E04A3A88-5B87-47B1-AFDD-4346FD51A0C8}" name="法人／構成比" dataDxfId="567"/>
    <tableColumn id="16" xr3:uid="{71BF8C53-D305-4DC0-94DE-16FAD2BE2725}" name="法人以外の団体／事業所数" totalsRowFunction="sum" totalsRowDxfId="566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A721C49A-D6B3-4FEB-BAFD-96A62C874A5F}" name="M_TABLE_12216" displayName="M_TABLE_12216" ref="B23:I43" totalsRowShown="0">
  <autoFilter ref="B23:I43" xr:uid="{A721C49A-D6B3-4FEB-BAFD-96A62C874A5F}"/>
  <tableColumns count="8">
    <tableColumn id="9" xr3:uid="{A181841A-794C-45E4-A5F7-31820E9E3E07}" name="産業中分類上位２０"/>
    <tableColumn id="10" xr3:uid="{A70B0459-9D78-4B51-95D3-E31A6BA47972}" name="総数／事業所数" dataCellStyle="桁区切り"/>
    <tableColumn id="11" xr3:uid="{699DF965-089C-4A6E-AC0A-45B1A66476E8}" name="総数／構成比" dataDxfId="565"/>
    <tableColumn id="12" xr3:uid="{C7B790B5-C066-4767-8A33-F067859E820D}" name="個人／事業所数" dataCellStyle="桁区切り"/>
    <tableColumn id="13" xr3:uid="{FF58E32A-C223-4289-8A23-F950A16718D2}" name="個人／構成比" dataDxfId="564"/>
    <tableColumn id="14" xr3:uid="{DF46B9F4-C3CA-4AEB-9AD6-F670A4BB1846}" name="法人／事業所数" dataCellStyle="桁区切り"/>
    <tableColumn id="15" xr3:uid="{9979D865-2F22-4EC0-B2F4-E1C3D111BEEB}" name="法人／構成比" dataDxfId="563"/>
    <tableColumn id="16" xr3:uid="{3D144889-2FA8-4989-B839-6E791EC0C000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A49296F-1470-4FD1-91A6-A75EA5B8EC14}" name="S_TABLE_12216" displayName="S_TABLE_12216" ref="B46:I66" totalsRowShown="0">
  <autoFilter ref="B46:I66" xr:uid="{DA49296F-1470-4FD1-91A6-A75EA5B8EC14}"/>
  <tableColumns count="8">
    <tableColumn id="9" xr3:uid="{E6477B64-E9BC-421F-80E5-15C490B94689}" name="産業小分類上位２０"/>
    <tableColumn id="10" xr3:uid="{DDB0D8B0-D803-4E07-9BFE-54D214A81C89}" name="総数／事業所数" dataCellStyle="桁区切り"/>
    <tableColumn id="11" xr3:uid="{B7DF90DD-E4F8-471E-86FB-B4A07668B093}" name="総数／構成比" dataDxfId="562"/>
    <tableColumn id="12" xr3:uid="{E256DDFC-E49D-49E9-9ED4-0259146C8042}" name="個人／事業所数" dataCellStyle="桁区切り"/>
    <tableColumn id="13" xr3:uid="{A3FC7111-9530-46E4-B9CD-A3D752ABD32F}" name="個人／構成比" dataDxfId="561"/>
    <tableColumn id="14" xr3:uid="{0BE13559-AEE4-4288-AF81-29A993CA4A83}" name="法人／事業所数" dataCellStyle="桁区切り"/>
    <tableColumn id="15" xr3:uid="{D2210618-904F-4BE4-9001-473B0E48580E}" name="法人／構成比" dataDxfId="560"/>
    <tableColumn id="16" xr3:uid="{43429740-3B1E-4842-95EE-6E5E3E543620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70FEFE8-8DDF-42A1-8FA8-A1419908796F}" name="LTBL_12217" displayName="LTBL_12217" ref="B4:I20" totalsRowCount="1">
  <autoFilter ref="B4:I19" xr:uid="{070FEFE8-8DDF-42A1-8FA8-A1419908796F}"/>
  <tableColumns count="8">
    <tableColumn id="9" xr3:uid="{577381B1-91A1-4E3E-8037-87B2E95B86DA}" name="産業大分類" totalsRowLabel="合計" totalsRowDxfId="559"/>
    <tableColumn id="10" xr3:uid="{AC28D5B7-DDF6-484B-97DC-99B42886F484}" name="総数／事業所数" totalsRowFunction="custom" totalsRowDxfId="558" dataCellStyle="桁区切り" totalsRowCellStyle="桁区切り">
      <totalsRowFormula>SUM(LTBL_12217[総数／事業所数])</totalsRowFormula>
    </tableColumn>
    <tableColumn id="11" xr3:uid="{B797CBB1-0C7D-42EB-8296-3FD1C7399353}" name="総数／構成比" dataDxfId="557"/>
    <tableColumn id="12" xr3:uid="{ED14DE51-3BFA-474E-8453-9E8266A6C672}" name="個人／事業所数" totalsRowFunction="sum" totalsRowDxfId="556" dataCellStyle="桁区切り" totalsRowCellStyle="桁区切り"/>
    <tableColumn id="13" xr3:uid="{164C5898-3F02-4962-A7AA-110BF4063E45}" name="個人／構成比" dataDxfId="555"/>
    <tableColumn id="14" xr3:uid="{F0990CF9-6033-43D8-A66E-EED6C0B351F0}" name="法人／事業所数" totalsRowFunction="sum" totalsRowDxfId="554" dataCellStyle="桁区切り" totalsRowCellStyle="桁区切り"/>
    <tableColumn id="15" xr3:uid="{F39AB2A3-405E-4F9F-8BF3-08755CC3EF96}" name="法人／構成比" dataDxfId="553"/>
    <tableColumn id="16" xr3:uid="{5F89E600-8BB1-4E7E-BA22-55FE837451A0}" name="法人以外の団体／事業所数" totalsRowFunction="sum" totalsRowDxfId="552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F48E08A8-3D41-455B-902D-5EC7C51717D5}" name="M_TABLE_12217" displayName="M_TABLE_12217" ref="B23:I43" totalsRowShown="0">
  <autoFilter ref="B23:I43" xr:uid="{F48E08A8-3D41-455B-902D-5EC7C51717D5}"/>
  <tableColumns count="8">
    <tableColumn id="9" xr3:uid="{A4DC5403-D765-4520-97A7-C7C804020754}" name="産業中分類上位２０"/>
    <tableColumn id="10" xr3:uid="{AE0D43E6-5B61-4ECE-8F39-92F8B200009F}" name="総数／事業所数" dataCellStyle="桁区切り"/>
    <tableColumn id="11" xr3:uid="{A1F2DFDB-83BE-45B9-82E6-53642A9E50F1}" name="総数／構成比" dataDxfId="551"/>
    <tableColumn id="12" xr3:uid="{9E155EA7-9B08-4DF0-BA53-F179A4B649D4}" name="個人／事業所数" dataCellStyle="桁区切り"/>
    <tableColumn id="13" xr3:uid="{5C1D3F57-E1E4-4951-BC48-5E70FCDE774E}" name="個人／構成比" dataDxfId="550"/>
    <tableColumn id="14" xr3:uid="{4B6C90A0-F178-4D71-ACC5-3C2A522D39CD}" name="法人／事業所数" dataCellStyle="桁区切り"/>
    <tableColumn id="15" xr3:uid="{A0BF6D67-4ACA-4CDC-9410-6094C8B056C4}" name="法人／構成比" dataDxfId="549"/>
    <tableColumn id="16" xr3:uid="{03859BCB-4828-454D-AA06-694E50AEC4E8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389B1B98-B27E-4C60-AB61-8CA071F9A700}" name="S_TABLE_12217" displayName="S_TABLE_12217" ref="B46:I66" totalsRowShown="0">
  <autoFilter ref="B46:I66" xr:uid="{389B1B98-B27E-4C60-AB61-8CA071F9A700}"/>
  <tableColumns count="8">
    <tableColumn id="9" xr3:uid="{130B4F19-0317-482E-82E2-F1F75EAD6BF2}" name="産業小分類上位２０"/>
    <tableColumn id="10" xr3:uid="{4F3177F2-CB0B-43ED-A733-62AC072173CC}" name="総数／事業所数" dataCellStyle="桁区切り"/>
    <tableColumn id="11" xr3:uid="{B1BF2BE8-88BB-4030-86B5-DDE7C05A60B4}" name="総数／構成比" dataDxfId="548"/>
    <tableColumn id="12" xr3:uid="{8F87F26F-26EA-4FD5-8D8E-E59D7C14BC78}" name="個人／事業所数" dataCellStyle="桁区切り"/>
    <tableColumn id="13" xr3:uid="{F14E4D61-03D8-4C94-B803-46992A062F90}" name="個人／構成比" dataDxfId="547"/>
    <tableColumn id="14" xr3:uid="{8352BE50-245E-4CFA-A3B5-8ED79C617D10}" name="法人／事業所数" dataCellStyle="桁区切り"/>
    <tableColumn id="15" xr3:uid="{39CFC766-F6A9-4035-918A-763192FD274A}" name="法人／構成比" dataDxfId="546"/>
    <tableColumn id="16" xr3:uid="{4411EC85-F105-4FD6-B91E-7CAA4105FF37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903B666E-88C5-4CBA-920E-453D2079DE4B}" name="LTBL_12218" displayName="LTBL_12218" ref="B4:I20" totalsRowCount="1">
  <autoFilter ref="B4:I19" xr:uid="{903B666E-88C5-4CBA-920E-453D2079DE4B}"/>
  <tableColumns count="8">
    <tableColumn id="9" xr3:uid="{BB351D11-DBAC-4D0D-A86C-A524B34849FC}" name="産業大分類" totalsRowLabel="合計" totalsRowDxfId="545"/>
    <tableColumn id="10" xr3:uid="{9D7A688F-1A7C-4228-A655-30F9E78D7456}" name="総数／事業所数" totalsRowFunction="custom" totalsRowDxfId="544" dataCellStyle="桁区切り" totalsRowCellStyle="桁区切り">
      <totalsRowFormula>SUM(LTBL_12218[総数／事業所数])</totalsRowFormula>
    </tableColumn>
    <tableColumn id="11" xr3:uid="{6B98A3D4-A2FC-4E13-A40A-FCA2D12728B6}" name="総数／構成比" dataDxfId="543"/>
    <tableColumn id="12" xr3:uid="{048C74E1-D3F1-4333-8FB7-677286D8865F}" name="個人／事業所数" totalsRowFunction="sum" totalsRowDxfId="542" dataCellStyle="桁区切り" totalsRowCellStyle="桁区切り"/>
    <tableColumn id="13" xr3:uid="{3CF163F8-283F-4111-8D0D-C90984716E26}" name="個人／構成比" dataDxfId="541"/>
    <tableColumn id="14" xr3:uid="{3B931B5E-0E96-46D0-8113-674D7FE0CBCC}" name="法人／事業所数" totalsRowFunction="sum" totalsRowDxfId="540" dataCellStyle="桁区切り" totalsRowCellStyle="桁区切り"/>
    <tableColumn id="15" xr3:uid="{B9D14D60-3D6A-49CD-B504-FA5B731B806A}" name="法人／構成比" dataDxfId="539"/>
    <tableColumn id="16" xr3:uid="{D7B7C67C-3407-434C-A484-28A9910C6A14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36119235-4CEF-4254-A049-333800D75175}" name="M_TABLE_12218" displayName="M_TABLE_12218" ref="B23:I45" totalsRowShown="0">
  <autoFilter ref="B23:I45" xr:uid="{36119235-4CEF-4254-A049-333800D75175}"/>
  <tableColumns count="8">
    <tableColumn id="9" xr3:uid="{029E6FF3-2613-44E8-8359-3CED4F60E381}" name="産業中分類上位２０"/>
    <tableColumn id="10" xr3:uid="{0C1CE670-BD02-4886-A818-496141BF4CE8}" name="総数／事業所数" dataCellStyle="桁区切り"/>
    <tableColumn id="11" xr3:uid="{937A055C-8D2A-448D-86AD-E00A136B8C52}" name="総数／構成比" dataDxfId="537"/>
    <tableColumn id="12" xr3:uid="{80E58670-8EA6-424E-9C2F-BD0629997210}" name="個人／事業所数" dataCellStyle="桁区切り"/>
    <tableColumn id="13" xr3:uid="{78CB0F99-B914-47D2-A330-24F18EC32BCA}" name="個人／構成比" dataDxfId="536"/>
    <tableColumn id="14" xr3:uid="{43577C31-3FA4-40AD-9D82-9FAF776FED0D}" name="法人／事業所数" dataCellStyle="桁区切り"/>
    <tableColumn id="15" xr3:uid="{76638186-F958-40BB-8960-C809E339F289}" name="法人／構成比" dataDxfId="535"/>
    <tableColumn id="16" xr3:uid="{E99F7074-8118-4098-9737-4A468A2700A7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23196E2A-CEA7-47A5-A546-649B27C2DCC3}" name="S_TABLE_12218" displayName="S_TABLE_12218" ref="B48:I70" totalsRowShown="0">
  <autoFilter ref="B48:I70" xr:uid="{23196E2A-CEA7-47A5-A546-649B27C2DCC3}"/>
  <tableColumns count="8">
    <tableColumn id="9" xr3:uid="{E7AC9B19-4422-48F0-9DBA-0D63527FF5DB}" name="産業小分類上位２０"/>
    <tableColumn id="10" xr3:uid="{0F0B6159-05FA-465A-84A2-5E915E2B0A5E}" name="総数／事業所数" dataCellStyle="桁区切り"/>
    <tableColumn id="11" xr3:uid="{545A33F5-B34A-4EFF-A6EE-4F78497B0E08}" name="総数／構成比" dataDxfId="534"/>
    <tableColumn id="12" xr3:uid="{2ADAA732-19B0-4E58-969E-978C0A93D475}" name="個人／事業所数" dataCellStyle="桁区切り"/>
    <tableColumn id="13" xr3:uid="{52D287CE-E13E-418D-A067-E95AA0A54B7A}" name="個人／構成比" dataDxfId="533"/>
    <tableColumn id="14" xr3:uid="{CBBDCA60-394D-49E1-BD63-2CC7D7BEAE92}" name="法人／事業所数" dataCellStyle="桁区切り"/>
    <tableColumn id="15" xr3:uid="{01218E03-03B5-4789-B0C0-70F89D92F259}" name="法人／構成比" dataDxfId="532"/>
    <tableColumn id="16" xr3:uid="{40B2424D-826B-4AD7-988A-CFF7D06D8FD3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5458622-14E9-429B-B8D3-066E7AF7B58C}" name="LTBL_12101" displayName="LTBL_12101" ref="B4:I20" totalsRowCount="1">
  <autoFilter ref="B4:I19" xr:uid="{B5458622-14E9-429B-B8D3-066E7AF7B58C}"/>
  <tableColumns count="8">
    <tableColumn id="9" xr3:uid="{5FCA9849-A9D1-4387-802A-4DA868402956}" name="産業大分類" totalsRowLabel="合計" totalsRowDxfId="825"/>
    <tableColumn id="10" xr3:uid="{468FA05F-A80D-43FB-B570-CDADB2798183}" name="総数／事業所数" totalsRowFunction="custom" totalsRowDxfId="824" dataCellStyle="桁区切り" totalsRowCellStyle="桁区切り">
      <totalsRowFormula>SUM(LTBL_12101[総数／事業所数])</totalsRowFormula>
    </tableColumn>
    <tableColumn id="11" xr3:uid="{9CA9960F-78E1-4749-B83C-B9BEA3CA9451}" name="総数／構成比" dataDxfId="823"/>
    <tableColumn id="12" xr3:uid="{0DBE00A3-0F0B-450F-8790-834E50F30532}" name="個人／事業所数" totalsRowFunction="sum" totalsRowDxfId="822" dataCellStyle="桁区切り" totalsRowCellStyle="桁区切り"/>
    <tableColumn id="13" xr3:uid="{AB066482-9511-4C2F-BA9C-4CD53AB1ECAB}" name="個人／構成比" dataDxfId="821"/>
    <tableColumn id="14" xr3:uid="{CF640C89-F193-454E-BAD7-879B7DB92371}" name="法人／事業所数" totalsRowFunction="sum" totalsRowDxfId="820" dataCellStyle="桁区切り" totalsRowCellStyle="桁区切り"/>
    <tableColumn id="15" xr3:uid="{8B9EA34D-39D8-4B61-B13D-C2C010214C77}" name="法人／構成比" dataDxfId="819"/>
    <tableColumn id="16" xr3:uid="{F87C486E-E27F-4C18-BC56-623270EB0416}" name="法人以外の団体／事業所数" totalsRowFunction="sum" totalsRowDxfId="818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1AACFB0E-EA5C-4FD1-86BF-90E19FA25622}" name="LTBL_12219" displayName="LTBL_12219" ref="B4:I20" totalsRowCount="1">
  <autoFilter ref="B4:I19" xr:uid="{1AACFB0E-EA5C-4FD1-86BF-90E19FA25622}"/>
  <tableColumns count="8">
    <tableColumn id="9" xr3:uid="{D7D9945A-8A80-4676-AB12-1D0258A6E801}" name="産業大分類" totalsRowLabel="合計" totalsRowDxfId="531"/>
    <tableColumn id="10" xr3:uid="{F6DF7F7F-AD51-42C6-87EF-5C81EC6E4280}" name="総数／事業所数" totalsRowFunction="custom" totalsRowDxfId="530" dataCellStyle="桁区切り" totalsRowCellStyle="桁区切り">
      <totalsRowFormula>SUM(LTBL_12219[総数／事業所数])</totalsRowFormula>
    </tableColumn>
    <tableColumn id="11" xr3:uid="{E29D262F-906B-401F-8247-40178565E439}" name="総数／構成比" dataDxfId="529"/>
    <tableColumn id="12" xr3:uid="{3C928C34-67B2-4F86-BA79-6E32B3F9503B}" name="個人／事業所数" totalsRowFunction="sum" totalsRowDxfId="528" dataCellStyle="桁区切り" totalsRowCellStyle="桁区切り"/>
    <tableColumn id="13" xr3:uid="{B9EC4BCA-35AE-4407-AE9C-DE4F2C449217}" name="個人／構成比" dataDxfId="527"/>
    <tableColumn id="14" xr3:uid="{9872527A-E9B9-4F33-BB19-9C4AAB50ACBB}" name="法人／事業所数" totalsRowFunction="sum" totalsRowDxfId="526" dataCellStyle="桁区切り" totalsRowCellStyle="桁区切り"/>
    <tableColumn id="15" xr3:uid="{4EE684B8-394B-41B2-896C-9A42D7B806FA}" name="法人／構成比" dataDxfId="525"/>
    <tableColumn id="16" xr3:uid="{2B3E3D6A-8C22-468E-B6FF-45851DC455E0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A5D1EDC8-8AB8-4D99-8404-43C0B4F71511}" name="M_TABLE_12219" displayName="M_TABLE_12219" ref="B23:I43" totalsRowShown="0">
  <autoFilter ref="B23:I43" xr:uid="{A5D1EDC8-8AB8-4D99-8404-43C0B4F71511}"/>
  <tableColumns count="8">
    <tableColumn id="9" xr3:uid="{555C721D-0680-4888-975A-F631492A1FBE}" name="産業中分類上位２０"/>
    <tableColumn id="10" xr3:uid="{C2A3D769-8E1D-4BA1-9B8E-1692DB46B73B}" name="総数／事業所数" dataCellStyle="桁区切り"/>
    <tableColumn id="11" xr3:uid="{567731D7-501C-4482-827A-567B92A37B32}" name="総数／構成比" dataDxfId="523"/>
    <tableColumn id="12" xr3:uid="{C618F00A-B999-427E-A806-9470775BBB7C}" name="個人／事業所数" dataCellStyle="桁区切り"/>
    <tableColumn id="13" xr3:uid="{56C3D32D-62EC-40B8-BEE7-10822FA6793D}" name="個人／構成比" dataDxfId="522"/>
    <tableColumn id="14" xr3:uid="{4D2BBDC6-3716-459F-BCAC-CB0C0A825F8D}" name="法人／事業所数" dataCellStyle="桁区切り"/>
    <tableColumn id="15" xr3:uid="{F131C2CA-36DD-41A2-BC8F-EFE17A2F18F1}" name="法人／構成比" dataDxfId="521"/>
    <tableColumn id="16" xr3:uid="{63BE0319-D738-4990-8D86-0F0BA9D99146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2B26A227-97D9-4EAB-B500-5ABBF510CE0B}" name="S_TABLE_12219" displayName="S_TABLE_12219" ref="B46:I66" totalsRowShown="0">
  <autoFilter ref="B46:I66" xr:uid="{2B26A227-97D9-4EAB-B500-5ABBF510CE0B}"/>
  <tableColumns count="8">
    <tableColumn id="9" xr3:uid="{8FAF3A8E-5CF8-467B-8E32-0B15AAB623D7}" name="産業小分類上位２０"/>
    <tableColumn id="10" xr3:uid="{A052B2EC-3FF1-4716-B127-4D5576EDF4FA}" name="総数／事業所数" dataCellStyle="桁区切り"/>
    <tableColumn id="11" xr3:uid="{E4DC5C60-B9B0-4AF4-8D08-BE192D18C559}" name="総数／構成比" dataDxfId="520"/>
    <tableColumn id="12" xr3:uid="{E02B0A5B-B37B-4B1C-9508-3D9C8AE8B0D4}" name="個人／事業所数" dataCellStyle="桁区切り"/>
    <tableColumn id="13" xr3:uid="{0E692170-A85E-4D94-8839-40D8DC06F5E6}" name="個人／構成比" dataDxfId="519"/>
    <tableColumn id="14" xr3:uid="{7565778B-E697-474F-BCC0-F8C56C7EEC70}" name="法人／事業所数" dataCellStyle="桁区切り"/>
    <tableColumn id="15" xr3:uid="{E2CC952A-2A81-46C7-A0E7-6C61EB178DA8}" name="法人／構成比" dataDxfId="518"/>
    <tableColumn id="16" xr3:uid="{FD23357F-CBDB-4A2C-AE06-E3DD0D2D990D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E0221F1E-B463-417A-84CF-E574D0667FBF}" name="LTBL_12220" displayName="LTBL_12220" ref="B4:I20" totalsRowCount="1">
  <autoFilter ref="B4:I19" xr:uid="{E0221F1E-B463-417A-84CF-E574D0667FBF}"/>
  <tableColumns count="8">
    <tableColumn id="9" xr3:uid="{1EE1A5DB-DF66-4AFD-82E1-183C527CD471}" name="産業大分類" totalsRowLabel="合計" totalsRowDxfId="517"/>
    <tableColumn id="10" xr3:uid="{7FD9AF46-2A73-434B-A79E-5B87200AB510}" name="総数／事業所数" totalsRowFunction="custom" totalsRowDxfId="516" dataCellStyle="桁区切り" totalsRowCellStyle="桁区切り">
      <totalsRowFormula>SUM(LTBL_12220[総数／事業所数])</totalsRowFormula>
    </tableColumn>
    <tableColumn id="11" xr3:uid="{BB5E6865-6B56-46E6-BBFC-09B28B716C40}" name="総数／構成比" dataDxfId="515"/>
    <tableColumn id="12" xr3:uid="{855BB097-6EC6-4884-BF03-F756D3A8F378}" name="個人／事業所数" totalsRowFunction="sum" totalsRowDxfId="514" dataCellStyle="桁区切り" totalsRowCellStyle="桁区切り"/>
    <tableColumn id="13" xr3:uid="{8D792968-7AAE-4053-B687-18B295204A5A}" name="個人／構成比" dataDxfId="513"/>
    <tableColumn id="14" xr3:uid="{FFADDB65-5DF8-431B-8F35-D7063C03CE9F}" name="法人／事業所数" totalsRowFunction="sum" totalsRowDxfId="512" dataCellStyle="桁区切り" totalsRowCellStyle="桁区切り"/>
    <tableColumn id="15" xr3:uid="{EDC8F215-7AA2-4F71-904E-79C36C7955C6}" name="法人／構成比" dataDxfId="511"/>
    <tableColumn id="16" xr3:uid="{2E39D54E-5777-4397-BF20-49C0EEF35ED9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D3384CDA-3980-42F9-9667-065EA02DA10C}" name="M_TABLE_12220" displayName="M_TABLE_12220" ref="B23:I43" totalsRowShown="0">
  <autoFilter ref="B23:I43" xr:uid="{D3384CDA-3980-42F9-9667-065EA02DA10C}"/>
  <tableColumns count="8">
    <tableColumn id="9" xr3:uid="{7EF75BE5-8838-4127-BC31-A83415B45E13}" name="産業中分類上位２０"/>
    <tableColumn id="10" xr3:uid="{A470A085-A297-4C02-AF00-7BBAAA2F61D1}" name="総数／事業所数" dataCellStyle="桁区切り"/>
    <tableColumn id="11" xr3:uid="{83B9E4B1-6D3A-4422-8907-7C38E624BA6E}" name="総数／構成比" dataDxfId="509"/>
    <tableColumn id="12" xr3:uid="{919CDE37-D6C9-475C-A6A2-2E95C7044CB6}" name="個人／事業所数" dataCellStyle="桁区切り"/>
    <tableColumn id="13" xr3:uid="{43666985-5F81-4868-9997-BC12167C3CB0}" name="個人／構成比" dataDxfId="508"/>
    <tableColumn id="14" xr3:uid="{CD0A169C-CD38-466D-BEA6-4A2257055EA3}" name="法人／事業所数" dataCellStyle="桁区切り"/>
    <tableColumn id="15" xr3:uid="{C5F1F598-2FE0-43EF-BF55-0B725FB67B0E}" name="法人／構成比" dataDxfId="507"/>
    <tableColumn id="16" xr3:uid="{DF7A9375-0056-48C3-9C6E-2B25515D9406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455751E-D490-4BBC-B17A-5DD1BCF02259}" name="S_TABLE_12220" displayName="S_TABLE_12220" ref="B46:I66" totalsRowShown="0">
  <autoFilter ref="B46:I66" xr:uid="{0455751E-D490-4BBC-B17A-5DD1BCF02259}"/>
  <tableColumns count="8">
    <tableColumn id="9" xr3:uid="{DBACD849-727F-40FA-934D-0975F1B33B21}" name="産業小分類上位２０"/>
    <tableColumn id="10" xr3:uid="{2154B4C8-0F26-4D97-B920-3E364B2D7AA1}" name="総数／事業所数" dataCellStyle="桁区切り"/>
    <tableColumn id="11" xr3:uid="{7E32BB6F-86E5-457D-A71E-B5481BA507C0}" name="総数／構成比" dataDxfId="506"/>
    <tableColumn id="12" xr3:uid="{25E7BEB3-2344-4FA0-9C5E-05D648C77A6C}" name="個人／事業所数" dataCellStyle="桁区切り"/>
    <tableColumn id="13" xr3:uid="{193D9631-0629-4773-B060-E5716DDDBAC8}" name="個人／構成比" dataDxfId="505"/>
    <tableColumn id="14" xr3:uid="{0D51B97A-6661-49EC-8079-BF4F27C7A4A9}" name="法人／事業所数" dataCellStyle="桁区切り"/>
    <tableColumn id="15" xr3:uid="{BBEA76CF-5A34-4FC4-8659-B808C7FCCCA9}" name="法人／構成比" dataDxfId="504"/>
    <tableColumn id="16" xr3:uid="{B7DEC15A-08D2-4E0D-86A0-0968979EB281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C6996C0E-8C8C-42D4-AEDD-ADA0D0746DDB}" name="LTBL_12221" displayName="LTBL_12221" ref="B4:I20" totalsRowCount="1">
  <autoFilter ref="B4:I19" xr:uid="{C6996C0E-8C8C-42D4-AEDD-ADA0D0746DDB}"/>
  <tableColumns count="8">
    <tableColumn id="9" xr3:uid="{F9A5C5AE-9E30-4065-821C-82BF9E9FAADA}" name="産業大分類" totalsRowLabel="合計" totalsRowDxfId="503"/>
    <tableColumn id="10" xr3:uid="{834A8D89-51B4-4C4C-BC7E-1577BE6DACD2}" name="総数／事業所数" totalsRowFunction="custom" totalsRowDxfId="502" dataCellStyle="桁区切り" totalsRowCellStyle="桁区切り">
      <totalsRowFormula>SUM(LTBL_12221[総数／事業所数])</totalsRowFormula>
    </tableColumn>
    <tableColumn id="11" xr3:uid="{BAEB792E-A23B-4551-99CF-9415BCC13843}" name="総数／構成比" dataDxfId="501"/>
    <tableColumn id="12" xr3:uid="{6AE433B9-E012-496B-A4CB-63345728F1E3}" name="個人／事業所数" totalsRowFunction="sum" totalsRowDxfId="500" dataCellStyle="桁区切り" totalsRowCellStyle="桁区切り"/>
    <tableColumn id="13" xr3:uid="{166F92E4-9E27-4809-BAF3-77C9C46F62EC}" name="個人／構成比" dataDxfId="499"/>
    <tableColumn id="14" xr3:uid="{BAB93022-C3E0-40C3-92C4-95298B59D6CE}" name="法人／事業所数" totalsRowFunction="sum" totalsRowDxfId="498" dataCellStyle="桁区切り" totalsRowCellStyle="桁区切り"/>
    <tableColumn id="15" xr3:uid="{48B8463D-7866-48AF-A4DA-819B45E2BB30}" name="法人／構成比" dataDxfId="497"/>
    <tableColumn id="16" xr3:uid="{FFE73E9D-EDBE-4FAD-B4EA-DE407BA2E620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813C50EF-42C1-4232-9C38-E07DDB8553E3}" name="M_TABLE_12221" displayName="M_TABLE_12221" ref="B23:I43" totalsRowShown="0">
  <autoFilter ref="B23:I43" xr:uid="{813C50EF-42C1-4232-9C38-E07DDB8553E3}"/>
  <tableColumns count="8">
    <tableColumn id="9" xr3:uid="{C0F24602-98A1-4C7F-BF29-6CB1C1841A91}" name="産業中分類上位２０"/>
    <tableColumn id="10" xr3:uid="{5AC5C837-6791-438C-B37B-8F6D1BDEEE71}" name="総数／事業所数" dataCellStyle="桁区切り"/>
    <tableColumn id="11" xr3:uid="{6DC13F56-A397-4D63-9F9B-3B00191F743F}" name="総数／構成比" dataDxfId="495"/>
    <tableColumn id="12" xr3:uid="{A3DE94B4-F5E5-400D-862D-3D63CCD37AFA}" name="個人／事業所数" dataCellStyle="桁区切り"/>
    <tableColumn id="13" xr3:uid="{01403FC6-93B5-475E-B4F9-E31A70318C02}" name="個人／構成比" dataDxfId="494"/>
    <tableColumn id="14" xr3:uid="{FBBFB19F-0CD3-4FEC-B93F-C61EDF4E10F9}" name="法人／事業所数" dataCellStyle="桁区切り"/>
    <tableColumn id="15" xr3:uid="{84E94D0F-7D19-4283-9526-56838EC90716}" name="法人／構成比" dataDxfId="493"/>
    <tableColumn id="16" xr3:uid="{A07CB622-7F43-4821-BE2C-D71A77078339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94848395-F2C9-470A-B4A2-80A3521670E1}" name="S_TABLE_12221" displayName="S_TABLE_12221" ref="B46:I66" totalsRowShown="0">
  <autoFilter ref="B46:I66" xr:uid="{94848395-F2C9-470A-B4A2-80A3521670E1}"/>
  <tableColumns count="8">
    <tableColumn id="9" xr3:uid="{F375E7B5-AF51-4FA8-B59B-6E1D0332367E}" name="産業小分類上位２０"/>
    <tableColumn id="10" xr3:uid="{7DCBA86F-B4C2-4447-A629-EE9A74A6C132}" name="総数／事業所数" dataCellStyle="桁区切り"/>
    <tableColumn id="11" xr3:uid="{BFB9782E-DE60-48E3-B2D6-2FB5082A3482}" name="総数／構成比" dataDxfId="492"/>
    <tableColumn id="12" xr3:uid="{A9884FB2-3812-409E-AEB0-2D87A08507F5}" name="個人／事業所数" dataCellStyle="桁区切り"/>
    <tableColumn id="13" xr3:uid="{C0F0EB0D-D8E0-4E25-BB44-71B0A61B624C}" name="個人／構成比" dataDxfId="491"/>
    <tableColumn id="14" xr3:uid="{1CF7241D-4D41-4181-80EE-40F15B189C89}" name="法人／事業所数" dataCellStyle="桁区切り"/>
    <tableColumn id="15" xr3:uid="{2340F1F0-5BA1-406E-AD81-4F0B02017C8E}" name="法人／構成比" dataDxfId="490"/>
    <tableColumn id="16" xr3:uid="{ED2EEE0F-0A64-426D-B61B-5F2B1662F681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62F6FB91-CC1E-4B50-9B8A-3C79901F2418}" name="LTBL_12222" displayName="LTBL_12222" ref="B4:I20" totalsRowCount="1">
  <autoFilter ref="B4:I19" xr:uid="{62F6FB91-CC1E-4B50-9B8A-3C79901F2418}"/>
  <tableColumns count="8">
    <tableColumn id="9" xr3:uid="{FADF173D-3278-462C-B4A5-A11A2581597C}" name="産業大分類" totalsRowLabel="合計" totalsRowDxfId="489"/>
    <tableColumn id="10" xr3:uid="{38B56BCF-22E6-4094-8807-6737CC39204E}" name="総数／事業所数" totalsRowFunction="custom" totalsRowDxfId="488" dataCellStyle="桁区切り" totalsRowCellStyle="桁区切り">
      <totalsRowFormula>SUM(LTBL_12222[総数／事業所数])</totalsRowFormula>
    </tableColumn>
    <tableColumn id="11" xr3:uid="{2BA3E1F8-698D-402A-B399-02BAECF85FE3}" name="総数／構成比" dataDxfId="487"/>
    <tableColumn id="12" xr3:uid="{F8080C63-4430-4426-A063-C0358EC724E0}" name="個人／事業所数" totalsRowFunction="sum" totalsRowDxfId="486" dataCellStyle="桁区切り" totalsRowCellStyle="桁区切り"/>
    <tableColumn id="13" xr3:uid="{33E34EA7-B78F-4E7D-A966-74E20DAA8DE6}" name="個人／構成比" dataDxfId="485"/>
    <tableColumn id="14" xr3:uid="{5CA64DC3-ACD9-4392-BA74-3ED8C3193A6E}" name="法人／事業所数" totalsRowFunction="sum" totalsRowDxfId="484" dataCellStyle="桁区切り" totalsRowCellStyle="桁区切り"/>
    <tableColumn id="15" xr3:uid="{70F764BD-D39F-4DBF-8D9D-BFA02C7DA9F4}" name="法人／構成比" dataDxfId="483"/>
    <tableColumn id="16" xr3:uid="{29957996-D160-4A9F-8AE7-F831EE2F98E9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4DACBA2-BD46-4157-8A81-6FABE69BC6A9}" name="M_TABLE_12101" displayName="M_TABLE_12101" ref="B23:I43" totalsRowShown="0">
  <autoFilter ref="B23:I43" xr:uid="{F4DACBA2-BD46-4157-8A81-6FABE69BC6A9}"/>
  <tableColumns count="8">
    <tableColumn id="9" xr3:uid="{1A92EF03-0F82-427E-9215-18F199A54281}" name="産業中分類上位２０"/>
    <tableColumn id="10" xr3:uid="{34838713-8F47-410A-8EB9-9E9646331F48}" name="総数／事業所数" dataCellStyle="桁区切り"/>
    <tableColumn id="11" xr3:uid="{E58A0734-DB6D-4911-AC80-01C69DA21832}" name="総数／構成比" dataDxfId="817"/>
    <tableColumn id="12" xr3:uid="{5FE0EA79-BEFA-4B59-B1D3-5D8E8CCB3307}" name="個人／事業所数" dataCellStyle="桁区切り"/>
    <tableColumn id="13" xr3:uid="{4C025FB9-507A-48D9-91EC-393927E2162C}" name="個人／構成比" dataDxfId="816"/>
    <tableColumn id="14" xr3:uid="{6EB87A44-10A1-421A-B548-EF16CD2F72A0}" name="法人／事業所数" dataCellStyle="桁区切り"/>
    <tableColumn id="15" xr3:uid="{08FAE324-D021-4621-8168-A649CCA4255D}" name="法人／構成比" dataDxfId="815"/>
    <tableColumn id="16" xr3:uid="{B1D006E2-24D5-4C14-8ECC-3569AA2FB23B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B23870D3-B08D-4518-84AE-C35FBB9E17B1}" name="M_TABLE_12222" displayName="M_TABLE_12222" ref="B23:I43" totalsRowShown="0">
  <autoFilter ref="B23:I43" xr:uid="{B23870D3-B08D-4518-84AE-C35FBB9E17B1}"/>
  <tableColumns count="8">
    <tableColumn id="9" xr3:uid="{5F727C5D-EA5A-44A1-B40F-3FFCDD636237}" name="産業中分類上位２０"/>
    <tableColumn id="10" xr3:uid="{9C1D5781-57A0-4E7A-8322-8359149FD43F}" name="総数／事業所数" dataCellStyle="桁区切り"/>
    <tableColumn id="11" xr3:uid="{384E19B7-211F-4FEB-A6AD-03E61E0081FE}" name="総数／構成比" dataDxfId="481"/>
    <tableColumn id="12" xr3:uid="{EF6AFB8E-EC5D-4BB4-ADA8-399F2E9FFD62}" name="個人／事業所数" dataCellStyle="桁区切り"/>
    <tableColumn id="13" xr3:uid="{EF9B2AFC-0DB5-4BBE-90EF-644E9BD22B11}" name="個人／構成比" dataDxfId="480"/>
    <tableColumn id="14" xr3:uid="{90DE2E9B-2FC4-4CF3-903E-E2E1E3DAD7E7}" name="法人／事業所数" dataCellStyle="桁区切り"/>
    <tableColumn id="15" xr3:uid="{8251F348-A90E-4E4F-AC6D-746B3E32ED7D}" name="法人／構成比" dataDxfId="479"/>
    <tableColumn id="16" xr3:uid="{0DED61AE-7C84-4844-8146-8AAA0C681213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A4C4C895-7D9F-469F-805A-783B637125BA}" name="S_TABLE_12222" displayName="S_TABLE_12222" ref="B46:I68" totalsRowShown="0">
  <autoFilter ref="B46:I68" xr:uid="{A4C4C895-7D9F-469F-805A-783B637125BA}"/>
  <tableColumns count="8">
    <tableColumn id="9" xr3:uid="{93E85F89-370D-44AE-87DF-E1A4CCBF4CC1}" name="産業小分類上位２０"/>
    <tableColumn id="10" xr3:uid="{2EBF9F6C-5D43-4D27-8934-3E0EC556198F}" name="総数／事業所数" dataCellStyle="桁区切り"/>
    <tableColumn id="11" xr3:uid="{FFDB69B5-DC63-42F4-8654-92BFD1AE0191}" name="総数／構成比" dataDxfId="478"/>
    <tableColumn id="12" xr3:uid="{3251310C-B9BD-4B7C-B253-9D9DEDDE2485}" name="個人／事業所数" dataCellStyle="桁区切り"/>
    <tableColumn id="13" xr3:uid="{8D5FFDDA-42A6-4083-ABDF-C5D6207AABD3}" name="個人／構成比" dataDxfId="477"/>
    <tableColumn id="14" xr3:uid="{2620A9B0-00B6-42C3-B1A5-74C089D08C8F}" name="法人／事業所数" dataCellStyle="桁区切り"/>
    <tableColumn id="15" xr3:uid="{270B0F6E-679C-422E-958F-F4729539D2F1}" name="法人／構成比" dataDxfId="476"/>
    <tableColumn id="16" xr3:uid="{F22EB533-99D8-4B08-8890-7DEEA1F58F5C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A8A1EAC5-EE36-4115-A0DC-2E2E3D45F9E1}" name="LTBL_12223" displayName="LTBL_12223" ref="B4:I20" totalsRowCount="1">
  <autoFilter ref="B4:I19" xr:uid="{A8A1EAC5-EE36-4115-A0DC-2E2E3D45F9E1}"/>
  <tableColumns count="8">
    <tableColumn id="9" xr3:uid="{231DD9FC-E9BC-4B2B-861D-8F2E48F05048}" name="産業大分類" totalsRowLabel="合計" totalsRowDxfId="475"/>
    <tableColumn id="10" xr3:uid="{B494A922-2A80-4809-B0C5-9C40C0CABD73}" name="総数／事業所数" totalsRowFunction="custom" totalsRowDxfId="474" dataCellStyle="桁区切り" totalsRowCellStyle="桁区切り">
      <totalsRowFormula>SUM(LTBL_12223[総数／事業所数])</totalsRowFormula>
    </tableColumn>
    <tableColumn id="11" xr3:uid="{635E9A5C-EE79-4AB7-B2B4-19E00297B043}" name="総数／構成比" dataDxfId="473"/>
    <tableColumn id="12" xr3:uid="{9D70797F-D9AE-4902-8A42-950177275BD6}" name="個人／事業所数" totalsRowFunction="sum" totalsRowDxfId="472" dataCellStyle="桁区切り" totalsRowCellStyle="桁区切り"/>
    <tableColumn id="13" xr3:uid="{61DA91CA-B145-440E-ACAC-7DDA8014EF21}" name="個人／構成比" dataDxfId="471"/>
    <tableColumn id="14" xr3:uid="{BD90B16D-BF65-4F24-93D4-99CB01C5680B}" name="法人／事業所数" totalsRowFunction="sum" totalsRowDxfId="470" dataCellStyle="桁区切り" totalsRowCellStyle="桁区切り"/>
    <tableColumn id="15" xr3:uid="{59A6B1BD-444E-4EB7-9AB6-F0C8F105E062}" name="法人／構成比" dataDxfId="469"/>
    <tableColumn id="16" xr3:uid="{BA9EB801-640B-4967-9A9C-A35778EA154A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9CC70A9-524E-450C-AEB9-A4BA3728F719}" name="M_TABLE_12223" displayName="M_TABLE_12223" ref="B23:I43" totalsRowShown="0">
  <autoFilter ref="B23:I43" xr:uid="{09CC70A9-524E-450C-AEB9-A4BA3728F719}"/>
  <tableColumns count="8">
    <tableColumn id="9" xr3:uid="{D2EC6252-52DC-457A-B9FC-81009DEF7FF4}" name="産業中分類上位２０"/>
    <tableColumn id="10" xr3:uid="{A1C707FD-ABAF-4153-ACFC-6C6E1DF6BD71}" name="総数／事業所数" dataCellStyle="桁区切り"/>
    <tableColumn id="11" xr3:uid="{47B25B6C-C054-4191-8047-E0826EFF62D2}" name="総数／構成比" dataDxfId="467"/>
    <tableColumn id="12" xr3:uid="{6A29DE10-5025-4AFE-A0D9-0E56A0005D8E}" name="個人／事業所数" dataCellStyle="桁区切り"/>
    <tableColumn id="13" xr3:uid="{FE04638F-54EF-43AB-B14B-0EF27C208BD2}" name="個人／構成比" dataDxfId="466"/>
    <tableColumn id="14" xr3:uid="{F46BCD1E-32F2-40E5-A78E-55867869AEBE}" name="法人／事業所数" dataCellStyle="桁区切り"/>
    <tableColumn id="15" xr3:uid="{D573D97F-18FF-495F-AF08-0A853566A562}" name="法人／構成比" dataDxfId="465"/>
    <tableColumn id="16" xr3:uid="{1275DF5E-66EE-44E2-90AE-2738FF211D92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4F5C0707-6A7E-4158-BE41-35E73E28B979}" name="S_TABLE_12223" displayName="S_TABLE_12223" ref="B46:I67" totalsRowShown="0">
  <autoFilter ref="B46:I67" xr:uid="{4F5C0707-6A7E-4158-BE41-35E73E28B979}"/>
  <tableColumns count="8">
    <tableColumn id="9" xr3:uid="{6BA4A5FE-30B8-42B2-BA42-A14B50051305}" name="産業小分類上位２０"/>
    <tableColumn id="10" xr3:uid="{519B3B3D-8505-4AC8-A3ED-384C97445044}" name="総数／事業所数" dataCellStyle="桁区切り"/>
    <tableColumn id="11" xr3:uid="{9FBDCF2E-EF32-4D0B-B5BA-C74D6906B9BC}" name="総数／構成比" dataDxfId="464"/>
    <tableColumn id="12" xr3:uid="{FB9458A1-6F43-46FA-9F9D-BB544DFD7C68}" name="個人／事業所数" dataCellStyle="桁区切り"/>
    <tableColumn id="13" xr3:uid="{2FD05683-73F6-4A26-99E1-F80665E096DF}" name="個人／構成比" dataDxfId="463"/>
    <tableColumn id="14" xr3:uid="{987F08FE-BA3E-42BB-B9CE-2150A812BBD9}" name="法人／事業所数" dataCellStyle="桁区切り"/>
    <tableColumn id="15" xr3:uid="{2D23CF5C-CDD5-41B1-8540-487F02603E54}" name="法人／構成比" dataDxfId="462"/>
    <tableColumn id="16" xr3:uid="{DED31E0E-A2F0-4913-B834-C5F3259D8684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823F2D78-5509-4501-ABD0-0FA83904649C}" name="LTBL_12224" displayName="LTBL_12224" ref="B4:I20" totalsRowCount="1">
  <autoFilter ref="B4:I19" xr:uid="{823F2D78-5509-4501-ABD0-0FA83904649C}"/>
  <tableColumns count="8">
    <tableColumn id="9" xr3:uid="{F6FCE161-0B51-495B-9494-FC9952820590}" name="産業大分類" totalsRowLabel="合計" totalsRowDxfId="461"/>
    <tableColumn id="10" xr3:uid="{012478C1-BB37-4B96-9C18-851389AC4674}" name="総数／事業所数" totalsRowFunction="custom" totalsRowDxfId="460" dataCellStyle="桁区切り" totalsRowCellStyle="桁区切り">
      <totalsRowFormula>SUM(LTBL_12224[総数／事業所数])</totalsRowFormula>
    </tableColumn>
    <tableColumn id="11" xr3:uid="{2054AE67-696D-480B-8CF2-0F023F756BBA}" name="総数／構成比" dataDxfId="459"/>
    <tableColumn id="12" xr3:uid="{499F38C8-98E6-40D8-B878-D7CD90CE21CF}" name="個人／事業所数" totalsRowFunction="sum" totalsRowDxfId="458" dataCellStyle="桁区切り" totalsRowCellStyle="桁区切り"/>
    <tableColumn id="13" xr3:uid="{BCA10802-0D1F-4BED-B4EA-D6BC2D1DCB60}" name="個人／構成比" dataDxfId="457"/>
    <tableColumn id="14" xr3:uid="{98953B08-6537-42D5-9C64-F344638C250B}" name="法人／事業所数" totalsRowFunction="sum" totalsRowDxfId="456" dataCellStyle="桁区切り" totalsRowCellStyle="桁区切り"/>
    <tableColumn id="15" xr3:uid="{AA38E4CA-41E4-4BC1-A94A-56CAE1B80161}" name="法人／構成比" dataDxfId="455"/>
    <tableColumn id="16" xr3:uid="{430D2E23-CBA4-4D4D-A25A-D4B1858D71A6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122AF66B-D7FC-4844-90BC-40839E47E381}" name="M_TABLE_12224" displayName="M_TABLE_12224" ref="B23:I43" totalsRowShown="0">
  <autoFilter ref="B23:I43" xr:uid="{122AF66B-D7FC-4844-90BC-40839E47E381}"/>
  <tableColumns count="8">
    <tableColumn id="9" xr3:uid="{845C1DBC-A9CD-4E8F-B549-90E82E8FDE4E}" name="産業中分類上位２０"/>
    <tableColumn id="10" xr3:uid="{2062F152-A572-49BE-A2A0-1B875E6999B4}" name="総数／事業所数" dataCellStyle="桁区切り"/>
    <tableColumn id="11" xr3:uid="{D4F10DE7-F8CF-4BC8-AE4D-E38656BC494B}" name="総数／構成比" dataDxfId="453"/>
    <tableColumn id="12" xr3:uid="{EE121237-631C-4F9E-A9E2-5A517798394B}" name="個人／事業所数" dataCellStyle="桁区切り"/>
    <tableColumn id="13" xr3:uid="{1E26ED9F-2394-4B99-9048-A56727C87E32}" name="個人／構成比" dataDxfId="452"/>
    <tableColumn id="14" xr3:uid="{CAB06DA3-421F-44DD-A043-CBDA58184364}" name="法人／事業所数" dataCellStyle="桁区切り"/>
    <tableColumn id="15" xr3:uid="{9F2013E5-2B59-4C86-BE74-7027BA919E60}" name="法人／構成比" dataDxfId="451"/>
    <tableColumn id="16" xr3:uid="{5D17533A-8025-44AB-8D79-2D87F5C5580F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98C461FF-BBF8-4AF3-970C-C2B73986998D}" name="S_TABLE_12224" displayName="S_TABLE_12224" ref="B46:I67" totalsRowShown="0">
  <autoFilter ref="B46:I67" xr:uid="{98C461FF-BBF8-4AF3-970C-C2B73986998D}"/>
  <tableColumns count="8">
    <tableColumn id="9" xr3:uid="{F3679598-7B9E-479C-B14C-29F9BF240800}" name="産業小分類上位２０"/>
    <tableColumn id="10" xr3:uid="{806190B9-509D-493D-ABE3-2E52AEB1686C}" name="総数／事業所数" dataCellStyle="桁区切り"/>
    <tableColumn id="11" xr3:uid="{56F819C6-0EB9-4A31-8673-86B415C66CE6}" name="総数／構成比" dataDxfId="450"/>
    <tableColumn id="12" xr3:uid="{BB84EA2E-C2AA-49E9-B27A-293D300CB571}" name="個人／事業所数" dataCellStyle="桁区切り"/>
    <tableColumn id="13" xr3:uid="{4E2102A4-73B1-4871-BC37-67570C02C631}" name="個人／構成比" dataDxfId="449"/>
    <tableColumn id="14" xr3:uid="{15B4F634-01E4-4829-B279-3CAF1261FB75}" name="法人／事業所数" dataCellStyle="桁区切り"/>
    <tableColumn id="15" xr3:uid="{E0F2B7F5-83F6-4962-8C44-34EE6FA3B4D3}" name="法人／構成比" dataDxfId="448"/>
    <tableColumn id="16" xr3:uid="{A08CDDE3-9E28-4946-B5D9-F06203A4ED9B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2B98F563-30C4-43B7-82E4-4407474A1713}" name="LTBL_12225" displayName="LTBL_12225" ref="B4:I20" totalsRowCount="1">
  <autoFilter ref="B4:I19" xr:uid="{2B98F563-30C4-43B7-82E4-4407474A1713}"/>
  <tableColumns count="8">
    <tableColumn id="9" xr3:uid="{D5346AFE-EA45-4BFC-A94F-28856F3803D6}" name="産業大分類" totalsRowLabel="合計" totalsRowDxfId="447"/>
    <tableColumn id="10" xr3:uid="{07570982-25C1-49FA-B5E6-49E110B3C81F}" name="総数／事業所数" totalsRowFunction="custom" totalsRowDxfId="446" dataCellStyle="桁区切り" totalsRowCellStyle="桁区切り">
      <totalsRowFormula>SUM(LTBL_12225[総数／事業所数])</totalsRowFormula>
    </tableColumn>
    <tableColumn id="11" xr3:uid="{69F4A8EC-1650-4AA8-B002-BD53B56D929F}" name="総数／構成比" dataDxfId="445"/>
    <tableColumn id="12" xr3:uid="{87CC170A-E5C0-402F-88B6-1AA9EAF24B43}" name="個人／事業所数" totalsRowFunction="sum" totalsRowDxfId="444" dataCellStyle="桁区切り" totalsRowCellStyle="桁区切り"/>
    <tableColumn id="13" xr3:uid="{6F5BC551-E153-463B-BF79-6044F0297C01}" name="個人／構成比" dataDxfId="443"/>
    <tableColumn id="14" xr3:uid="{5212F1AA-6962-48AD-A23D-03A9C491A8B5}" name="法人／事業所数" totalsRowFunction="sum" totalsRowDxfId="442" dataCellStyle="桁区切り" totalsRowCellStyle="桁区切り"/>
    <tableColumn id="15" xr3:uid="{62290521-FC14-4954-B45F-A7574680C56B}" name="法人／構成比" dataDxfId="441"/>
    <tableColumn id="16" xr3:uid="{F9B9ABB7-1070-493A-B82B-915745A3BB73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120F7E8-2176-4626-A2B8-E6A4962745E6}" name="M_TABLE_12225" displayName="M_TABLE_12225" ref="B23:I43" totalsRowShown="0">
  <autoFilter ref="B23:I43" xr:uid="{0120F7E8-2176-4626-A2B8-E6A4962745E6}"/>
  <tableColumns count="8">
    <tableColumn id="9" xr3:uid="{D75C1450-36E1-4E53-964C-3216FE5E25DF}" name="産業中分類上位２０"/>
    <tableColumn id="10" xr3:uid="{4C6B59DE-48F3-418C-A467-D6DB6FD97285}" name="総数／事業所数" dataCellStyle="桁区切り"/>
    <tableColumn id="11" xr3:uid="{2AD9254C-EA57-4433-8002-B675F3CE439D}" name="総数／構成比" dataDxfId="439"/>
    <tableColumn id="12" xr3:uid="{7966C30B-C1C1-44A5-86D7-41251017DF3E}" name="個人／事業所数" dataCellStyle="桁区切り"/>
    <tableColumn id="13" xr3:uid="{A98E93D4-B2A7-4309-AD4C-102899154799}" name="個人／構成比" dataDxfId="438"/>
    <tableColumn id="14" xr3:uid="{4313DFC9-2614-48A0-84F4-1C77539EDD99}" name="法人／事業所数" dataCellStyle="桁区切り"/>
    <tableColumn id="15" xr3:uid="{85C4E114-E92B-4511-99E4-A649C4AA9C6B}" name="法人／構成比" dataDxfId="437"/>
    <tableColumn id="16" xr3:uid="{F2E91CF8-A9E6-4D00-A44B-DD9CB711E1A9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EA2C302-23E9-4B28-ADB2-4E64A9A5CD49}" name="S_TABLE_12101" displayName="S_TABLE_12101" ref="B46:I67" totalsRowShown="0">
  <autoFilter ref="B46:I67" xr:uid="{2EA2C302-23E9-4B28-ADB2-4E64A9A5CD49}"/>
  <tableColumns count="8">
    <tableColumn id="9" xr3:uid="{A2BB281A-61B6-43D2-BBBA-A206555A2144}" name="産業小分類上位２０"/>
    <tableColumn id="10" xr3:uid="{CA304844-7338-4BA1-9447-52C9736EEE79}" name="総数／事業所数" dataCellStyle="桁区切り"/>
    <tableColumn id="11" xr3:uid="{9FF303CA-BEBA-486B-AF71-21B999C6D81F}" name="総数／構成比" dataDxfId="814"/>
    <tableColumn id="12" xr3:uid="{23F3AC65-03DF-49F3-8494-5913CCBD0BCD}" name="個人／事業所数" dataCellStyle="桁区切り"/>
    <tableColumn id="13" xr3:uid="{82402060-CB32-4620-A89A-1F26E95A82DF}" name="個人／構成比" dataDxfId="813"/>
    <tableColumn id="14" xr3:uid="{125D2F0B-016B-4694-A3AE-97968F65F72F}" name="法人／事業所数" dataCellStyle="桁区切り"/>
    <tableColumn id="15" xr3:uid="{7A6D0D90-6030-4675-8A9F-00180645E3B2}" name="法人／構成比" dataDxfId="812"/>
    <tableColumn id="16" xr3:uid="{C279D094-44B1-4C9D-86DC-CB409B384174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A8A3BC0D-02BC-46C9-864C-DAD397138AB8}" name="S_TABLE_12225" displayName="S_TABLE_12225" ref="B46:I66" totalsRowShown="0">
  <autoFilter ref="B46:I66" xr:uid="{A8A3BC0D-02BC-46C9-864C-DAD397138AB8}"/>
  <tableColumns count="8">
    <tableColumn id="9" xr3:uid="{E52A7917-8EF1-43F6-B4FC-E5ADBCC741DD}" name="産業小分類上位２０"/>
    <tableColumn id="10" xr3:uid="{6A97B04D-4209-4CDD-B42B-FC3CCC62C7A5}" name="総数／事業所数" dataCellStyle="桁区切り"/>
    <tableColumn id="11" xr3:uid="{AAAF3AC5-6C96-4E80-B300-DB94B31D2518}" name="総数／構成比" dataDxfId="436"/>
    <tableColumn id="12" xr3:uid="{DB51C592-5262-441C-91D6-67A78D1A677A}" name="個人／事業所数" dataCellStyle="桁区切り"/>
    <tableColumn id="13" xr3:uid="{E344050E-5E2F-440D-846A-CF17952EE0F1}" name="個人／構成比" dataDxfId="435"/>
    <tableColumn id="14" xr3:uid="{8640F5D3-0EC8-4AE2-97A7-25A5EC7FD09F}" name="法人／事業所数" dataCellStyle="桁区切り"/>
    <tableColumn id="15" xr3:uid="{4EEE5288-98CE-47D0-B24F-B0542A3E3C27}" name="法人／構成比" dataDxfId="434"/>
    <tableColumn id="16" xr3:uid="{D7D07C5F-C4D1-467B-BC4A-B31C08F6B596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B1B69CBC-CEF0-4527-9890-AB5EC230A842}" name="LTBL_12226" displayName="LTBL_12226" ref="B4:I20" totalsRowCount="1">
  <autoFilter ref="B4:I19" xr:uid="{B1B69CBC-CEF0-4527-9890-AB5EC230A842}"/>
  <tableColumns count="8">
    <tableColumn id="9" xr3:uid="{09D729BA-D3F1-4094-9332-757599A0E0CE}" name="産業大分類" totalsRowLabel="合計" totalsRowDxfId="433"/>
    <tableColumn id="10" xr3:uid="{22B3F12D-F346-499C-A1D4-88A613F47E07}" name="総数／事業所数" totalsRowFunction="custom" totalsRowDxfId="432" dataCellStyle="桁区切り" totalsRowCellStyle="桁区切り">
      <totalsRowFormula>SUM(LTBL_12226[総数／事業所数])</totalsRowFormula>
    </tableColumn>
    <tableColumn id="11" xr3:uid="{D38673A3-4F23-4849-82C8-3B6614456E55}" name="総数／構成比" dataDxfId="431"/>
    <tableColumn id="12" xr3:uid="{A72F3A5E-7BFF-4F4F-A884-1330B720234E}" name="個人／事業所数" totalsRowFunction="sum" totalsRowDxfId="430" dataCellStyle="桁区切り" totalsRowCellStyle="桁区切り"/>
    <tableColumn id="13" xr3:uid="{F29C44ED-E9ED-4267-8FEE-7995C7EFBC9D}" name="個人／構成比" dataDxfId="429"/>
    <tableColumn id="14" xr3:uid="{3ECF0CD9-3E16-43E0-9057-6DD2C1892BD1}" name="法人／事業所数" totalsRowFunction="sum" totalsRowDxfId="428" dataCellStyle="桁区切り" totalsRowCellStyle="桁区切り"/>
    <tableColumn id="15" xr3:uid="{C90E6549-3FCB-4802-90A1-D861CC9FFD45}" name="法人／構成比" dataDxfId="427"/>
    <tableColumn id="16" xr3:uid="{6F81C849-809A-4237-A2CF-1D636513A983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EBE5E02B-0728-475E-BEDE-9EBA81E8831B}" name="M_TABLE_12226" displayName="M_TABLE_12226" ref="B23:I43" totalsRowShown="0">
  <autoFilter ref="B23:I43" xr:uid="{EBE5E02B-0728-475E-BEDE-9EBA81E8831B}"/>
  <tableColumns count="8">
    <tableColumn id="9" xr3:uid="{CC5A8BFC-F1BD-4B56-82D6-545C3EA8C113}" name="産業中分類上位２０"/>
    <tableColumn id="10" xr3:uid="{03123C66-B2F2-4D3B-A3D9-4B87A0FD7380}" name="総数／事業所数" dataCellStyle="桁区切り"/>
    <tableColumn id="11" xr3:uid="{88EA295F-6772-4D20-8240-803DEAA32828}" name="総数／構成比" dataDxfId="425"/>
    <tableColumn id="12" xr3:uid="{7BCDC1B8-D849-4A8C-B47B-BA5E447BDAD9}" name="個人／事業所数" dataCellStyle="桁区切り"/>
    <tableColumn id="13" xr3:uid="{271BEEB0-C697-40B9-8F13-D8B2411A3094}" name="個人／構成比" dataDxfId="424"/>
    <tableColumn id="14" xr3:uid="{99D238E6-A7DB-4014-A822-DBBC2CF85284}" name="法人／事業所数" dataCellStyle="桁区切り"/>
    <tableColumn id="15" xr3:uid="{4253F26B-A72F-4EB3-9B2D-F39195333696}" name="法人／構成比" dataDxfId="423"/>
    <tableColumn id="16" xr3:uid="{5E1F0B7C-5749-4453-85D5-ED31719B6692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D54A5F30-D60B-4DBC-9DBD-7B50E8B369EC}" name="S_TABLE_12226" displayName="S_TABLE_12226" ref="B46:I69" totalsRowShown="0">
  <autoFilter ref="B46:I69" xr:uid="{D54A5F30-D60B-4DBC-9DBD-7B50E8B369EC}"/>
  <tableColumns count="8">
    <tableColumn id="9" xr3:uid="{6BA84F97-99A4-4D8E-A7C5-5268686F5455}" name="産業小分類上位２０"/>
    <tableColumn id="10" xr3:uid="{0227830B-9D55-4C45-BEFB-00C07D332AA3}" name="総数／事業所数" dataCellStyle="桁区切り"/>
    <tableColumn id="11" xr3:uid="{3F621B4A-7033-4122-90AC-AC8D4025FF7B}" name="総数／構成比" dataDxfId="422"/>
    <tableColumn id="12" xr3:uid="{95549201-7578-4F3B-8B3E-080851FDB319}" name="個人／事業所数" dataCellStyle="桁区切り"/>
    <tableColumn id="13" xr3:uid="{D9E070BC-2F73-4EE8-A146-D2EACB7F81BA}" name="個人／構成比" dataDxfId="421"/>
    <tableColumn id="14" xr3:uid="{D6AE6638-FA39-4297-8756-998F1699FBAB}" name="法人／事業所数" dataCellStyle="桁区切り"/>
    <tableColumn id="15" xr3:uid="{6730BC5E-881F-4F15-800A-942B2C5BEF29}" name="法人／構成比" dataDxfId="420"/>
    <tableColumn id="16" xr3:uid="{40BDAC78-BE02-4B94-B28F-002E16F2F3F5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F49039B4-637D-476A-BD0F-43E634E91F6C}" name="LTBL_12227" displayName="LTBL_12227" ref="B4:I20" totalsRowCount="1">
  <autoFilter ref="B4:I19" xr:uid="{F49039B4-637D-476A-BD0F-43E634E91F6C}"/>
  <tableColumns count="8">
    <tableColumn id="9" xr3:uid="{11E4A9A3-1D24-4860-8B82-D02D594979E6}" name="産業大分類" totalsRowLabel="合計" totalsRowDxfId="419"/>
    <tableColumn id="10" xr3:uid="{3D83B64E-452B-4FF4-82E7-C30104DD5447}" name="総数／事業所数" totalsRowFunction="custom" totalsRowDxfId="418" dataCellStyle="桁区切り" totalsRowCellStyle="桁区切り">
      <totalsRowFormula>SUM(LTBL_12227[総数／事業所数])</totalsRowFormula>
    </tableColumn>
    <tableColumn id="11" xr3:uid="{CD53DB7B-B07C-4780-8217-749D15CB99F2}" name="総数／構成比" dataDxfId="417"/>
    <tableColumn id="12" xr3:uid="{5F5145A8-94CC-4EA1-9C56-C1185402E311}" name="個人／事業所数" totalsRowFunction="sum" totalsRowDxfId="416" dataCellStyle="桁区切り" totalsRowCellStyle="桁区切り"/>
    <tableColumn id="13" xr3:uid="{5008647F-09B9-433B-B471-0AEFD2FA5C4B}" name="個人／構成比" dataDxfId="415"/>
    <tableColumn id="14" xr3:uid="{3A10F7E9-DE6A-4146-9D71-E4CB58AF76F9}" name="法人／事業所数" totalsRowFunction="sum" totalsRowDxfId="414" dataCellStyle="桁区切り" totalsRowCellStyle="桁区切り"/>
    <tableColumn id="15" xr3:uid="{E91D928E-A4B1-44E1-84C2-9F7637199E9B}" name="法人／構成比" dataDxfId="413"/>
    <tableColumn id="16" xr3:uid="{05E47F9F-E983-4F39-BF73-E24227D16C2F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CDE13F7-21C6-4C62-BF65-03B048FB5D2F}" name="M_TABLE_12227" displayName="M_TABLE_12227" ref="B23:I43" totalsRowShown="0">
  <autoFilter ref="B23:I43" xr:uid="{0CDE13F7-21C6-4C62-BF65-03B048FB5D2F}"/>
  <tableColumns count="8">
    <tableColumn id="9" xr3:uid="{6DA3A0DF-175D-4292-B850-0CDE1B5B6415}" name="産業中分類上位２０"/>
    <tableColumn id="10" xr3:uid="{19C097A1-1FCF-4398-813B-97F1490FD296}" name="総数／事業所数" dataCellStyle="桁区切り"/>
    <tableColumn id="11" xr3:uid="{26E2F0D1-5C44-442C-B374-CAC6848FDC98}" name="総数／構成比" dataDxfId="411"/>
    <tableColumn id="12" xr3:uid="{2DA60511-6669-45CC-84A4-F34F69211DEB}" name="個人／事業所数" dataCellStyle="桁区切り"/>
    <tableColumn id="13" xr3:uid="{529CC75A-C77E-4CDF-ABF4-00156602B2E9}" name="個人／構成比" dataDxfId="410"/>
    <tableColumn id="14" xr3:uid="{CE55D4AA-146B-4247-AD8A-6DBB3D1B7763}" name="法人／事業所数" dataCellStyle="桁区切り"/>
    <tableColumn id="15" xr3:uid="{394D6193-2547-48CD-A21D-FA421475D30F}" name="法人／構成比" dataDxfId="409"/>
    <tableColumn id="16" xr3:uid="{BF4F250C-96AE-4C9C-8D01-98DDBBA8D1D6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CE623B59-AE61-49B2-92F3-5BC63A319082}" name="S_TABLE_12227" displayName="S_TABLE_12227" ref="B46:I69" totalsRowShown="0">
  <autoFilter ref="B46:I69" xr:uid="{CE623B59-AE61-49B2-92F3-5BC63A319082}"/>
  <tableColumns count="8">
    <tableColumn id="9" xr3:uid="{95E53F45-33AF-48B6-BC7F-1BB108FE6BB8}" name="産業小分類上位２０"/>
    <tableColumn id="10" xr3:uid="{9F3FF856-99CE-4DED-A1B3-35E20E335D6B}" name="総数／事業所数" dataCellStyle="桁区切り"/>
    <tableColumn id="11" xr3:uid="{9C6C5FC7-7BFD-4CF5-8A5D-C063D0736403}" name="総数／構成比" dataDxfId="408"/>
    <tableColumn id="12" xr3:uid="{C3454DF9-19E6-4577-819A-51DEB35BB691}" name="個人／事業所数" dataCellStyle="桁区切り"/>
    <tableColumn id="13" xr3:uid="{E5910E75-ECFB-4F63-AF29-DE88BAC3C302}" name="個人／構成比" dataDxfId="407"/>
    <tableColumn id="14" xr3:uid="{1724040A-7FC3-4E76-8465-9A2357B31A0F}" name="法人／事業所数" dataCellStyle="桁区切り"/>
    <tableColumn id="15" xr3:uid="{04C2992A-F5CF-47FB-AD68-9478C3D4B451}" name="法人／構成比" dataDxfId="406"/>
    <tableColumn id="16" xr3:uid="{F97EA936-A9D4-437C-ACBF-C383FDB74E0D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645FA354-9D2B-4A00-8C37-A41E0FCC3FB6}" name="LTBL_12228" displayName="LTBL_12228" ref="B4:I20" totalsRowCount="1">
  <autoFilter ref="B4:I19" xr:uid="{645FA354-9D2B-4A00-8C37-A41E0FCC3FB6}"/>
  <tableColumns count="8">
    <tableColumn id="9" xr3:uid="{F7D2145A-02A8-4CE8-BFB3-5AA9A906553F}" name="産業大分類" totalsRowLabel="合計" totalsRowDxfId="405"/>
    <tableColumn id="10" xr3:uid="{A5CFA6A8-267C-410B-BC83-78987B37DAC5}" name="総数／事業所数" totalsRowFunction="custom" totalsRowDxfId="404" dataCellStyle="桁区切り" totalsRowCellStyle="桁区切り">
      <totalsRowFormula>SUM(LTBL_12228[総数／事業所数])</totalsRowFormula>
    </tableColumn>
    <tableColumn id="11" xr3:uid="{2D38DB59-3F6B-430F-BC15-1C0289E9F753}" name="総数／構成比" dataDxfId="403"/>
    <tableColumn id="12" xr3:uid="{AF37138F-E9A0-426B-B63E-F857ED818904}" name="個人／事業所数" totalsRowFunction="sum" totalsRowDxfId="402" dataCellStyle="桁区切り" totalsRowCellStyle="桁区切り"/>
    <tableColumn id="13" xr3:uid="{EBBFC6AA-CAFF-4F55-AFD6-A69E250724F7}" name="個人／構成比" dataDxfId="401"/>
    <tableColumn id="14" xr3:uid="{7F8E98E0-607D-4C6E-A80E-FC0CCF2E37E7}" name="法人／事業所数" totalsRowFunction="sum" totalsRowDxfId="400" dataCellStyle="桁区切り" totalsRowCellStyle="桁区切り"/>
    <tableColumn id="15" xr3:uid="{19A2576C-1E2D-4B39-8734-1AAA34B8A2B4}" name="法人／構成比" dataDxfId="399"/>
    <tableColumn id="16" xr3:uid="{E3543B26-E675-4B73-B370-E3CD80B0EA7D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3BCECBC9-C6C6-4D02-A636-5174B840295A}" name="M_TABLE_12228" displayName="M_TABLE_12228" ref="B23:I43" totalsRowShown="0">
  <autoFilter ref="B23:I43" xr:uid="{3BCECBC9-C6C6-4D02-A636-5174B840295A}"/>
  <tableColumns count="8">
    <tableColumn id="9" xr3:uid="{F8401A77-54EA-4135-8FD5-B278A24460D3}" name="産業中分類上位２０"/>
    <tableColumn id="10" xr3:uid="{ACEBF15A-2DDC-410C-94A3-8F7B912848C6}" name="総数／事業所数" dataCellStyle="桁区切り"/>
    <tableColumn id="11" xr3:uid="{DE1C8DF9-D880-4E90-B438-4CFA277F5203}" name="総数／構成比" dataDxfId="397"/>
    <tableColumn id="12" xr3:uid="{3F00E44C-805A-42B6-A91A-D971A036A5DD}" name="個人／事業所数" dataCellStyle="桁区切り"/>
    <tableColumn id="13" xr3:uid="{517FB168-C4C6-42E9-87D4-C0E26AC5622E}" name="個人／構成比" dataDxfId="396"/>
    <tableColumn id="14" xr3:uid="{C66FBB12-AB14-4FBD-B7F4-D9E61DA15E08}" name="法人／事業所数" dataCellStyle="桁区切り"/>
    <tableColumn id="15" xr3:uid="{62A730EF-F1F1-4E1D-BA0C-EA736DFB42BF}" name="法人／構成比" dataDxfId="395"/>
    <tableColumn id="16" xr3:uid="{52BE1EA5-F547-4134-ABEF-9BBF6C2FB2C3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47EAA708-8168-4C8B-BCE2-3D3615EE6C71}" name="S_TABLE_12228" displayName="S_TABLE_12228" ref="B46:I70" totalsRowShown="0">
  <autoFilter ref="B46:I70" xr:uid="{47EAA708-8168-4C8B-BCE2-3D3615EE6C71}"/>
  <tableColumns count="8">
    <tableColumn id="9" xr3:uid="{28335D9C-ECB8-4391-A11D-6919A94C997C}" name="産業小分類上位２０"/>
    <tableColumn id="10" xr3:uid="{42BE0D55-EAC1-4BE3-AB4F-47F13CA4E107}" name="総数／事業所数" dataCellStyle="桁区切り"/>
    <tableColumn id="11" xr3:uid="{59B331CB-7DB1-4EE0-BBD5-A86B64CF5086}" name="総数／構成比" dataDxfId="394"/>
    <tableColumn id="12" xr3:uid="{1118C0FC-022E-4A15-AE78-F3498CC5B087}" name="個人／事業所数" dataCellStyle="桁区切り"/>
    <tableColumn id="13" xr3:uid="{CB4175DC-A2D8-41A2-80D5-8DF43D1D2918}" name="個人／構成比" dataDxfId="393"/>
    <tableColumn id="14" xr3:uid="{B2B9B18C-61F4-4043-B2FF-E85A73F1214B}" name="法人／事業所数" dataCellStyle="桁区切り"/>
    <tableColumn id="15" xr3:uid="{7E4DD930-89EF-4733-BB02-D81418FD3B80}" name="法人／構成比" dataDxfId="392"/>
    <tableColumn id="16" xr3:uid="{30FCD719-6F01-4099-8072-F6AA98FAA3A9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9.xml"/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43.bin"/><Relationship Id="rId4" Type="http://schemas.openxmlformats.org/officeDocument/2006/relationships/table" Target="../tables/table120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12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5.xml"/><Relationship Id="rId2" Type="http://schemas.openxmlformats.org/officeDocument/2006/relationships/table" Target="../tables/table124.xml"/><Relationship Id="rId1" Type="http://schemas.openxmlformats.org/officeDocument/2006/relationships/printerSettings" Target="../printerSettings/printerSettings45.bin"/><Relationship Id="rId4" Type="http://schemas.openxmlformats.org/officeDocument/2006/relationships/table" Target="../tables/table12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8.xml"/><Relationship Id="rId2" Type="http://schemas.openxmlformats.org/officeDocument/2006/relationships/table" Target="../tables/table127.xml"/><Relationship Id="rId1" Type="http://schemas.openxmlformats.org/officeDocument/2006/relationships/printerSettings" Target="../printerSettings/printerSettings46.bin"/><Relationship Id="rId4" Type="http://schemas.openxmlformats.org/officeDocument/2006/relationships/table" Target="../tables/table129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1.xml"/><Relationship Id="rId2" Type="http://schemas.openxmlformats.org/officeDocument/2006/relationships/table" Target="../tables/table130.xml"/><Relationship Id="rId1" Type="http://schemas.openxmlformats.org/officeDocument/2006/relationships/printerSettings" Target="../printerSettings/printerSettings47.bin"/><Relationship Id="rId4" Type="http://schemas.openxmlformats.org/officeDocument/2006/relationships/table" Target="../tables/table132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48.bin"/><Relationship Id="rId4" Type="http://schemas.openxmlformats.org/officeDocument/2006/relationships/table" Target="../tables/table1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7.xml"/><Relationship Id="rId2" Type="http://schemas.openxmlformats.org/officeDocument/2006/relationships/table" Target="../tables/table136.xml"/><Relationship Id="rId1" Type="http://schemas.openxmlformats.org/officeDocument/2006/relationships/printerSettings" Target="../printerSettings/printerSettings49.bin"/><Relationship Id="rId4" Type="http://schemas.openxmlformats.org/officeDocument/2006/relationships/table" Target="../tables/table138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0.xml"/><Relationship Id="rId2" Type="http://schemas.openxmlformats.org/officeDocument/2006/relationships/table" Target="../tables/table139.xml"/><Relationship Id="rId1" Type="http://schemas.openxmlformats.org/officeDocument/2006/relationships/printerSettings" Target="../printerSettings/printerSettings50.bin"/><Relationship Id="rId4" Type="http://schemas.openxmlformats.org/officeDocument/2006/relationships/table" Target="../tables/table141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3.xml"/><Relationship Id="rId2" Type="http://schemas.openxmlformats.org/officeDocument/2006/relationships/table" Target="../tables/table142.xml"/><Relationship Id="rId1" Type="http://schemas.openxmlformats.org/officeDocument/2006/relationships/printerSettings" Target="../printerSettings/printerSettings51.bin"/><Relationship Id="rId4" Type="http://schemas.openxmlformats.org/officeDocument/2006/relationships/table" Target="../tables/table144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52.bin"/><Relationship Id="rId4" Type="http://schemas.openxmlformats.org/officeDocument/2006/relationships/table" Target="../tables/table147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9.xml"/><Relationship Id="rId2" Type="http://schemas.openxmlformats.org/officeDocument/2006/relationships/table" Target="../tables/table148.xml"/><Relationship Id="rId1" Type="http://schemas.openxmlformats.org/officeDocument/2006/relationships/printerSettings" Target="../printerSettings/printerSettings53.bin"/><Relationship Id="rId4" Type="http://schemas.openxmlformats.org/officeDocument/2006/relationships/table" Target="../tables/table150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2.xml"/><Relationship Id="rId2" Type="http://schemas.openxmlformats.org/officeDocument/2006/relationships/table" Target="../tables/table151.xml"/><Relationship Id="rId1" Type="http://schemas.openxmlformats.org/officeDocument/2006/relationships/printerSettings" Target="../printerSettings/printerSettings54.bin"/><Relationship Id="rId4" Type="http://schemas.openxmlformats.org/officeDocument/2006/relationships/table" Target="../tables/table153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5.xml"/><Relationship Id="rId2" Type="http://schemas.openxmlformats.org/officeDocument/2006/relationships/table" Target="../tables/table154.xml"/><Relationship Id="rId1" Type="http://schemas.openxmlformats.org/officeDocument/2006/relationships/printerSettings" Target="../printerSettings/printerSettings55.bin"/><Relationship Id="rId4" Type="http://schemas.openxmlformats.org/officeDocument/2006/relationships/table" Target="../tables/table156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56.bin"/><Relationship Id="rId4" Type="http://schemas.openxmlformats.org/officeDocument/2006/relationships/table" Target="../tables/table159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1.xml"/><Relationship Id="rId2" Type="http://schemas.openxmlformats.org/officeDocument/2006/relationships/table" Target="../tables/table160.xml"/><Relationship Id="rId1" Type="http://schemas.openxmlformats.org/officeDocument/2006/relationships/printerSettings" Target="../printerSettings/printerSettings57.bin"/><Relationship Id="rId4" Type="http://schemas.openxmlformats.org/officeDocument/2006/relationships/table" Target="../tables/table162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4.xml"/><Relationship Id="rId2" Type="http://schemas.openxmlformats.org/officeDocument/2006/relationships/table" Target="../tables/table163.xml"/><Relationship Id="rId1" Type="http://schemas.openxmlformats.org/officeDocument/2006/relationships/printerSettings" Target="../printerSettings/printerSettings58.bin"/><Relationship Id="rId4" Type="http://schemas.openxmlformats.org/officeDocument/2006/relationships/table" Target="../tables/table16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7.xml"/><Relationship Id="rId2" Type="http://schemas.openxmlformats.org/officeDocument/2006/relationships/table" Target="../tables/table166.xml"/><Relationship Id="rId1" Type="http://schemas.openxmlformats.org/officeDocument/2006/relationships/printerSettings" Target="../printerSettings/printerSettings59.bin"/><Relationship Id="rId4" Type="http://schemas.openxmlformats.org/officeDocument/2006/relationships/table" Target="../tables/table168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60.bin"/><Relationship Id="rId4" Type="http://schemas.openxmlformats.org/officeDocument/2006/relationships/table" Target="../tables/table171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3.xml"/><Relationship Id="rId2" Type="http://schemas.openxmlformats.org/officeDocument/2006/relationships/table" Target="../tables/table172.xml"/><Relationship Id="rId1" Type="http://schemas.openxmlformats.org/officeDocument/2006/relationships/printerSettings" Target="../printerSettings/printerSettings61.bin"/><Relationship Id="rId4" Type="http://schemas.openxmlformats.org/officeDocument/2006/relationships/table" Target="../tables/table174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6.xml"/><Relationship Id="rId2" Type="http://schemas.openxmlformats.org/officeDocument/2006/relationships/table" Target="../tables/table175.xml"/><Relationship Id="rId1" Type="http://schemas.openxmlformats.org/officeDocument/2006/relationships/printerSettings" Target="../printerSettings/printerSettings62.bin"/><Relationship Id="rId4" Type="http://schemas.openxmlformats.org/officeDocument/2006/relationships/table" Target="../tables/table177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9.xml"/><Relationship Id="rId2" Type="http://schemas.openxmlformats.org/officeDocument/2006/relationships/table" Target="../tables/table178.xml"/><Relationship Id="rId1" Type="http://schemas.openxmlformats.org/officeDocument/2006/relationships/printerSettings" Target="../printerSettings/printerSettings63.bin"/><Relationship Id="rId4" Type="http://schemas.openxmlformats.org/officeDocument/2006/relationships/table" Target="../tables/table180.x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2.xml"/><Relationship Id="rId2" Type="http://schemas.openxmlformats.org/officeDocument/2006/relationships/table" Target="../tables/table181.xml"/><Relationship Id="rId1" Type="http://schemas.openxmlformats.org/officeDocument/2006/relationships/printerSettings" Target="../printerSettings/printerSettings64.bin"/><Relationship Id="rId4" Type="http://schemas.openxmlformats.org/officeDocument/2006/relationships/table" Target="../tables/table18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077D1-7251-436C-9D01-36359B98CAC4}">
  <dimension ref="A1:B65"/>
  <sheetViews>
    <sheetView tabSelected="1" workbookViewId="0"/>
  </sheetViews>
  <sheetFormatPr defaultRowHeight="13.2" x14ac:dyDescent="0.2"/>
  <sheetData>
    <row r="1" spans="1:2" x14ac:dyDescent="0.2">
      <c r="A1" t="s">
        <v>373</v>
      </c>
    </row>
    <row r="2" spans="1:2" x14ac:dyDescent="0.2">
      <c r="B2" s="13" t="s">
        <v>247</v>
      </c>
    </row>
    <row r="3" spans="1:2" x14ac:dyDescent="0.2">
      <c r="B3" s="13" t="s">
        <v>147</v>
      </c>
    </row>
    <row r="4" spans="1:2" x14ac:dyDescent="0.2">
      <c r="B4" s="13" t="s">
        <v>245</v>
      </c>
    </row>
    <row r="5" spans="1:2" x14ac:dyDescent="0.2">
      <c r="B5" s="13" t="s">
        <v>312</v>
      </c>
    </row>
    <row r="6" spans="1:2" x14ac:dyDescent="0.2">
      <c r="B6" s="13" t="s">
        <v>313</v>
      </c>
    </row>
    <row r="7" spans="1:2" x14ac:dyDescent="0.2">
      <c r="B7" s="13" t="s">
        <v>314</v>
      </c>
    </row>
    <row r="8" spans="1:2" x14ac:dyDescent="0.2">
      <c r="B8" s="13" t="s">
        <v>315</v>
      </c>
    </row>
    <row r="9" spans="1:2" x14ac:dyDescent="0.2">
      <c r="B9" s="13" t="s">
        <v>316</v>
      </c>
    </row>
    <row r="10" spans="1:2" x14ac:dyDescent="0.2">
      <c r="B10" s="13" t="s">
        <v>317</v>
      </c>
    </row>
    <row r="11" spans="1:2" x14ac:dyDescent="0.2">
      <c r="B11" s="13" t="s">
        <v>318</v>
      </c>
    </row>
    <row r="12" spans="1:2" x14ac:dyDescent="0.2">
      <c r="B12" s="13" t="s">
        <v>319</v>
      </c>
    </row>
    <row r="13" spans="1:2" x14ac:dyDescent="0.2">
      <c r="B13" s="13" t="s">
        <v>320</v>
      </c>
    </row>
    <row r="14" spans="1:2" x14ac:dyDescent="0.2">
      <c r="B14" s="13" t="s">
        <v>321</v>
      </c>
    </row>
    <row r="15" spans="1:2" x14ac:dyDescent="0.2">
      <c r="B15" s="13" t="s">
        <v>322</v>
      </c>
    </row>
    <row r="16" spans="1:2" x14ac:dyDescent="0.2">
      <c r="B16" s="13" t="s">
        <v>323</v>
      </c>
    </row>
    <row r="17" spans="2:2" x14ac:dyDescent="0.2">
      <c r="B17" s="13" t="s">
        <v>324</v>
      </c>
    </row>
    <row r="18" spans="2:2" x14ac:dyDescent="0.2">
      <c r="B18" s="13" t="s">
        <v>325</v>
      </c>
    </row>
    <row r="19" spans="2:2" x14ac:dyDescent="0.2">
      <c r="B19" s="13" t="s">
        <v>326</v>
      </c>
    </row>
    <row r="20" spans="2:2" x14ac:dyDescent="0.2">
      <c r="B20" s="13" t="s">
        <v>327</v>
      </c>
    </row>
    <row r="21" spans="2:2" x14ac:dyDescent="0.2">
      <c r="B21" s="13" t="s">
        <v>328</v>
      </c>
    </row>
    <row r="22" spans="2:2" x14ac:dyDescent="0.2">
      <c r="B22" s="13" t="s">
        <v>329</v>
      </c>
    </row>
    <row r="23" spans="2:2" x14ac:dyDescent="0.2">
      <c r="B23" s="13" t="s">
        <v>330</v>
      </c>
    </row>
    <row r="24" spans="2:2" x14ac:dyDescent="0.2">
      <c r="B24" s="13" t="s">
        <v>331</v>
      </c>
    </row>
    <row r="25" spans="2:2" x14ac:dyDescent="0.2">
      <c r="B25" s="13" t="s">
        <v>332</v>
      </c>
    </row>
    <row r="26" spans="2:2" x14ac:dyDescent="0.2">
      <c r="B26" s="13" t="s">
        <v>333</v>
      </c>
    </row>
    <row r="27" spans="2:2" x14ac:dyDescent="0.2">
      <c r="B27" s="13" t="s">
        <v>334</v>
      </c>
    </row>
    <row r="28" spans="2:2" x14ac:dyDescent="0.2">
      <c r="B28" s="13" t="s">
        <v>335</v>
      </c>
    </row>
    <row r="29" spans="2:2" x14ac:dyDescent="0.2">
      <c r="B29" s="13" t="s">
        <v>336</v>
      </c>
    </row>
    <row r="30" spans="2:2" x14ac:dyDescent="0.2">
      <c r="B30" s="13" t="s">
        <v>337</v>
      </c>
    </row>
    <row r="31" spans="2:2" x14ac:dyDescent="0.2">
      <c r="B31" s="13" t="s">
        <v>338</v>
      </c>
    </row>
    <row r="32" spans="2:2" x14ac:dyDescent="0.2">
      <c r="B32" s="13" t="s">
        <v>339</v>
      </c>
    </row>
    <row r="33" spans="2:2" x14ac:dyDescent="0.2">
      <c r="B33" s="13" t="s">
        <v>340</v>
      </c>
    </row>
    <row r="34" spans="2:2" x14ac:dyDescent="0.2">
      <c r="B34" s="13" t="s">
        <v>341</v>
      </c>
    </row>
    <row r="35" spans="2:2" x14ac:dyDescent="0.2">
      <c r="B35" s="13" t="s">
        <v>342</v>
      </c>
    </row>
    <row r="36" spans="2:2" x14ac:dyDescent="0.2">
      <c r="B36" s="13" t="s">
        <v>343</v>
      </c>
    </row>
    <row r="37" spans="2:2" x14ac:dyDescent="0.2">
      <c r="B37" s="13" t="s">
        <v>344</v>
      </c>
    </row>
    <row r="38" spans="2:2" x14ac:dyDescent="0.2">
      <c r="B38" s="13" t="s">
        <v>345</v>
      </c>
    </row>
    <row r="39" spans="2:2" x14ac:dyDescent="0.2">
      <c r="B39" s="13" t="s">
        <v>346</v>
      </c>
    </row>
    <row r="40" spans="2:2" x14ac:dyDescent="0.2">
      <c r="B40" s="13" t="s">
        <v>347</v>
      </c>
    </row>
    <row r="41" spans="2:2" x14ac:dyDescent="0.2">
      <c r="B41" s="13" t="s">
        <v>348</v>
      </c>
    </row>
    <row r="42" spans="2:2" x14ac:dyDescent="0.2">
      <c r="B42" s="13" t="s">
        <v>349</v>
      </c>
    </row>
    <row r="43" spans="2:2" x14ac:dyDescent="0.2">
      <c r="B43" s="13" t="s">
        <v>350</v>
      </c>
    </row>
    <row r="44" spans="2:2" x14ac:dyDescent="0.2">
      <c r="B44" s="13" t="s">
        <v>351</v>
      </c>
    </row>
    <row r="45" spans="2:2" x14ac:dyDescent="0.2">
      <c r="B45" s="13" t="s">
        <v>352</v>
      </c>
    </row>
    <row r="46" spans="2:2" x14ac:dyDescent="0.2">
      <c r="B46" s="13" t="s">
        <v>353</v>
      </c>
    </row>
    <row r="47" spans="2:2" x14ac:dyDescent="0.2">
      <c r="B47" s="13" t="s">
        <v>354</v>
      </c>
    </row>
    <row r="48" spans="2:2" x14ac:dyDescent="0.2">
      <c r="B48" s="13" t="s">
        <v>355</v>
      </c>
    </row>
    <row r="49" spans="2:2" x14ac:dyDescent="0.2">
      <c r="B49" s="13" t="s">
        <v>356</v>
      </c>
    </row>
    <row r="50" spans="2:2" x14ac:dyDescent="0.2">
      <c r="B50" s="13" t="s">
        <v>357</v>
      </c>
    </row>
    <row r="51" spans="2:2" x14ac:dyDescent="0.2">
      <c r="B51" s="13" t="s">
        <v>358</v>
      </c>
    </row>
    <row r="52" spans="2:2" x14ac:dyDescent="0.2">
      <c r="B52" s="13" t="s">
        <v>359</v>
      </c>
    </row>
    <row r="53" spans="2:2" x14ac:dyDescent="0.2">
      <c r="B53" s="13" t="s">
        <v>360</v>
      </c>
    </row>
    <row r="54" spans="2:2" x14ac:dyDescent="0.2">
      <c r="B54" s="13" t="s">
        <v>361</v>
      </c>
    </row>
    <row r="55" spans="2:2" x14ac:dyDescent="0.2">
      <c r="B55" s="13" t="s">
        <v>362</v>
      </c>
    </row>
    <row r="56" spans="2:2" x14ac:dyDescent="0.2">
      <c r="B56" s="13" t="s">
        <v>363</v>
      </c>
    </row>
    <row r="57" spans="2:2" x14ac:dyDescent="0.2">
      <c r="B57" s="13" t="s">
        <v>364</v>
      </c>
    </row>
    <row r="58" spans="2:2" x14ac:dyDescent="0.2">
      <c r="B58" s="13" t="s">
        <v>365</v>
      </c>
    </row>
    <row r="59" spans="2:2" x14ac:dyDescent="0.2">
      <c r="B59" s="13" t="s">
        <v>366</v>
      </c>
    </row>
    <row r="60" spans="2:2" x14ac:dyDescent="0.2">
      <c r="B60" s="13" t="s">
        <v>367</v>
      </c>
    </row>
    <row r="61" spans="2:2" x14ac:dyDescent="0.2">
      <c r="B61" s="13" t="s">
        <v>368</v>
      </c>
    </row>
    <row r="62" spans="2:2" x14ac:dyDescent="0.2">
      <c r="B62" s="13" t="s">
        <v>369</v>
      </c>
    </row>
    <row r="63" spans="2:2" x14ac:dyDescent="0.2">
      <c r="B63" s="13" t="s">
        <v>370</v>
      </c>
    </row>
    <row r="64" spans="2:2" x14ac:dyDescent="0.2">
      <c r="B64" s="13" t="s">
        <v>371</v>
      </c>
    </row>
    <row r="65" spans="2:2" x14ac:dyDescent="0.2">
      <c r="B65" s="13" t="s">
        <v>372</v>
      </c>
    </row>
  </sheetData>
  <phoneticPr fontId="1"/>
  <hyperlinks>
    <hyperlink ref="B2" location="'産業大分類'!a1" display="産業大分類" xr:uid="{3FEB500D-5796-499E-8CAD-44294972ECC1}"/>
    <hyperlink ref="B3" location="'産業中分類'!a1" display="産業中分類" xr:uid="{2E18B01A-7015-43C5-8C73-65DA0EB2FB9A}"/>
    <hyperlink ref="B4" location="'産業小分類'!a1" display="産業小分類" xr:uid="{AD39BAD3-BEB8-48FF-9DD8-0E388626699C}"/>
    <hyperlink ref="B5" location="'千葉県'!a1" display="千葉県" xr:uid="{9EE621DD-0388-4613-BDB6-4745A84CF3B0}"/>
    <hyperlink ref="B6" location="'千葉市'!a1" display="千葉市" xr:uid="{643E051F-8E5C-4766-8F56-70E89760C25A}"/>
    <hyperlink ref="B7" location="'千葉市中央区'!a1" display="千葉市中央区" xr:uid="{B6A6DD3A-61F3-4978-97EB-CEDBC0A12F2B}"/>
    <hyperlink ref="B8" location="'千葉市花見川区'!a1" display="千葉市花見川区" xr:uid="{59E9A22F-3E80-4A8E-9C29-E40C20356FFE}"/>
    <hyperlink ref="B9" location="'千葉市稲毛区'!a1" display="千葉市稲毛区" xr:uid="{3308440B-20E7-4D35-B01B-1C5EAA0BC64A}"/>
    <hyperlink ref="B10" location="'千葉市若葉区'!a1" display="千葉市若葉区" xr:uid="{BEA78325-F4A2-4ED4-8FAE-A1B1ED7F52CE}"/>
    <hyperlink ref="B11" location="'千葉市緑区'!a1" display="千葉市緑区" xr:uid="{F3766565-79DD-48C4-8C22-7849673DB6D2}"/>
    <hyperlink ref="B12" location="'千葉市美浜区'!a1" display="千葉市美浜区" xr:uid="{D84DB725-13A7-456B-97A7-115CF442FBB6}"/>
    <hyperlink ref="B13" location="'銚子市'!a1" display="銚子市" xr:uid="{58014A80-7CB0-4146-AFB1-2599AE5DE4D6}"/>
    <hyperlink ref="B14" location="'市川市'!a1" display="市川市" xr:uid="{367E32EF-0C37-49DF-8077-3B3C49715F78}"/>
    <hyperlink ref="B15" location="'船橋市'!a1" display="船橋市" xr:uid="{40E7BDDC-86FE-4791-97C6-AB86E207D009}"/>
    <hyperlink ref="B16" location="'館山市'!a1" display="館山市" xr:uid="{2EE88C03-F2E1-4214-AC35-DD8F35600D9F}"/>
    <hyperlink ref="B17" location="'木更津市'!a1" display="木更津市" xr:uid="{7A3EF531-56DF-4E1B-85FC-66BB1F9CB337}"/>
    <hyperlink ref="B18" location="'松戸市'!a1" display="松戸市" xr:uid="{7E7A98FD-52B0-4319-B200-BA4E287657CB}"/>
    <hyperlink ref="B19" location="'野田市'!a1" display="野田市" xr:uid="{4F5C776B-6EC1-4DB0-9BA7-49D8502A5426}"/>
    <hyperlink ref="B20" location="'茂原市'!a1" display="茂原市" xr:uid="{DCEB3FA9-6B58-4791-ABA8-5C5644EC12BA}"/>
    <hyperlink ref="B21" location="'成田市'!a1" display="成田市" xr:uid="{E6E4E143-DBDB-4FBE-B901-D3D0193E3DCF}"/>
    <hyperlink ref="B22" location="'佐倉市'!a1" display="佐倉市" xr:uid="{B044CC30-EAD2-4A68-B877-90EE4AE3EE53}"/>
    <hyperlink ref="B23" location="'東金市'!a1" display="東金市" xr:uid="{0C0838AC-1C74-4C9A-BE72-540F6091598D}"/>
    <hyperlink ref="B24" location="'旭市'!a1" display="旭市" xr:uid="{8C236A18-F979-46A5-8D62-FE077A492FD2}"/>
    <hyperlink ref="B25" location="'習志野市'!a1" display="習志野市" xr:uid="{99519BD9-B97F-4917-8C41-4612EE6E58EA}"/>
    <hyperlink ref="B26" location="'柏市'!a1" display="柏市" xr:uid="{3EC57F1D-EA0F-4910-8954-0CC192A96458}"/>
    <hyperlink ref="B27" location="'勝浦市'!a1" display="勝浦市" xr:uid="{2A14FF52-F8EC-4AF0-8915-3F0739AC1E16}"/>
    <hyperlink ref="B28" location="'市原市'!a1" display="市原市" xr:uid="{F71086E6-B144-4F47-9080-C701C241AE07}"/>
    <hyperlink ref="B29" location="'流山市'!a1" display="流山市" xr:uid="{B4748712-52A3-4064-BC1C-04EEC6BE9DB5}"/>
    <hyperlink ref="B30" location="'八千代市'!a1" display="八千代市" xr:uid="{9E1F5A56-A56D-4BEF-A436-50DFECF192AF}"/>
    <hyperlink ref="B31" location="'我孫子市'!a1" display="我孫子市" xr:uid="{41526525-3A88-4D56-89A7-EAEF5DB53177}"/>
    <hyperlink ref="B32" location="'鴨川市'!a1" display="鴨川市" xr:uid="{EAE1EF2C-F89C-4FB6-AAFE-30957C0B203F}"/>
    <hyperlink ref="B33" location="'鎌ケ谷市'!a1" display="鎌ケ谷市" xr:uid="{FDBA8ADA-EBA4-4101-8D60-B27604897390}"/>
    <hyperlink ref="B34" location="'君津市'!a1" display="君津市" xr:uid="{EC81197D-CCD7-4CDB-97A8-7CE32D162FF4}"/>
    <hyperlink ref="B35" location="'富津市'!a1" display="富津市" xr:uid="{436EEFCB-5798-49ED-A014-B8DCDF5A1211}"/>
    <hyperlink ref="B36" location="'浦安市'!a1" display="浦安市" xr:uid="{2EA23228-6DD5-46EB-82A0-B5B15F29EAF0}"/>
    <hyperlink ref="B37" location="'四街道市'!a1" display="四街道市" xr:uid="{A083C48A-0F47-48CE-849E-130CFB21C353}"/>
    <hyperlink ref="B38" location="'袖ケ浦市'!a1" display="袖ケ浦市" xr:uid="{DE4BA2A7-B2FF-4FEE-B4A7-74B4EFF39BB8}"/>
    <hyperlink ref="B39" location="'八街市'!a1" display="八街市" xr:uid="{069B7D21-B508-42C6-95F5-8D30960C5959}"/>
    <hyperlink ref="B40" location="'印西市'!a1" display="印西市" xr:uid="{E16F1F08-4593-46CE-AFBC-C5E7792BD23E}"/>
    <hyperlink ref="B41" location="'白井市'!a1" display="白井市" xr:uid="{58BF9235-3C1F-49A9-B6C4-23EE7493B216}"/>
    <hyperlink ref="B42" location="'富里市'!a1" display="富里市" xr:uid="{6A97558C-8F2D-456D-9CF4-C8ABDBE30297}"/>
    <hyperlink ref="B43" location="'南房総市'!a1" display="南房総市" xr:uid="{E4A282A8-96D0-49CF-B041-0052304326C6}"/>
    <hyperlink ref="B44" location="'匝瑳市'!a1" display="匝瑳市" xr:uid="{790AB2D4-95E7-45E1-84CC-B1207C7A3F04}"/>
    <hyperlink ref="B45" location="'香取市'!a1" display="香取市" xr:uid="{3CBF4604-019F-49E8-B830-56D10309F81A}"/>
    <hyperlink ref="B46" location="'山武市'!a1" display="山武市" xr:uid="{4A3E8A45-80F7-434D-9F86-1D7C62883233}"/>
    <hyperlink ref="B47" location="'いすみ市'!a1" display="いすみ市" xr:uid="{B407F7C5-A1A2-4CCD-96ED-ADDC99593635}"/>
    <hyperlink ref="B48" location="'大網白里市'!a1" display="大網白里市" xr:uid="{566D5960-2481-4A79-A0E9-DD9AF2D0FD3C}"/>
    <hyperlink ref="B49" location="'印旛郡酒々井町'!a1" display="印旛郡酒々井町" xr:uid="{7C52304D-5228-4FA3-8C33-40A62F838227}"/>
    <hyperlink ref="B50" location="'印旛郡栄町'!a1" display="印旛郡栄町" xr:uid="{3E343D71-D75E-4B88-81EE-F277EE5CF80D}"/>
    <hyperlink ref="B51" location="'香取郡神崎町'!a1" display="香取郡神崎町" xr:uid="{AF4DA9E1-6709-4592-9813-CEB49940C395}"/>
    <hyperlink ref="B52" location="'香取郡多古町'!a1" display="香取郡多古町" xr:uid="{45897C9C-C295-4BA4-8F0D-E06A0BD443EA}"/>
    <hyperlink ref="B53" location="'香取郡東庄町'!a1" display="香取郡東庄町" xr:uid="{61517BB1-9B7D-4B99-9DFE-EC7F7594AE1B}"/>
    <hyperlink ref="B54" location="'山武郡九十九里町'!a1" display="山武郡九十九里町" xr:uid="{F49A389E-A08B-4B4D-83C2-E98790CCC4D1}"/>
    <hyperlink ref="B55" location="'山武郡芝山町'!a1" display="山武郡芝山町" xr:uid="{7AE35A6E-0788-45BF-8F56-EDDB747A39A4}"/>
    <hyperlink ref="B56" location="'山武郡横芝光町'!a1" display="山武郡横芝光町" xr:uid="{52E099F0-0AE0-49E2-B64F-8731B15F1EF2}"/>
    <hyperlink ref="B57" location="'長生郡一宮町'!a1" display="長生郡一宮町" xr:uid="{485A1792-418F-4BCC-9918-C68450C795AD}"/>
    <hyperlink ref="B58" location="'長生郡睦沢町'!a1" display="長生郡睦沢町" xr:uid="{7ECECB59-8BCF-447F-BB26-910E82D3B714}"/>
    <hyperlink ref="B59" location="'長生郡長生村'!a1" display="長生郡長生村" xr:uid="{0B901F3B-A6D8-4BDC-BD01-6B525DC6FF58}"/>
    <hyperlink ref="B60" location="'長生郡白子町'!a1" display="長生郡白子町" xr:uid="{B20933B7-F511-45F5-8AF2-66101884C953}"/>
    <hyperlink ref="B61" location="'長生郡長柄町'!a1" display="長生郡長柄町" xr:uid="{F2667CB4-F227-4FBE-ACDF-6EB1589817AA}"/>
    <hyperlink ref="B62" location="'長生郡長南町'!a1" display="長生郡長南町" xr:uid="{F1B8403C-79F3-4B2E-BBF6-31901C47EC17}"/>
    <hyperlink ref="B63" location="'夷隅郡大多喜町'!a1" display="夷隅郡大多喜町" xr:uid="{626E2630-18D0-4985-AFCD-B5706EA29781}"/>
    <hyperlink ref="B64" location="'夷隅郡御宿町'!a1" display="夷隅郡御宿町" xr:uid="{238C903A-68E2-4C4A-8DAD-B7FD22D48AED}"/>
    <hyperlink ref="B65" location="'安房郡鋸南町'!a1" display="安房郡鋸南町" xr:uid="{6327038A-6E60-49F4-AE3F-30905BABF9A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8C5C-DE63-437C-BF68-0B173BAB156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256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519</v>
      </c>
      <c r="D6" s="8">
        <v>23.93</v>
      </c>
      <c r="E6" s="12">
        <v>38</v>
      </c>
      <c r="F6" s="8">
        <v>5.58</v>
      </c>
      <c r="G6" s="12">
        <v>481</v>
      </c>
      <c r="H6" s="8">
        <v>32.39</v>
      </c>
      <c r="I6" s="12">
        <v>0</v>
      </c>
    </row>
    <row r="7" spans="2:9" ht="15" customHeight="1" x14ac:dyDescent="0.2">
      <c r="B7" t="s">
        <v>63</v>
      </c>
      <c r="C7" s="12">
        <v>128</v>
      </c>
      <c r="D7" s="8">
        <v>5.9</v>
      </c>
      <c r="E7" s="12">
        <v>19</v>
      </c>
      <c r="F7" s="8">
        <v>2.79</v>
      </c>
      <c r="G7" s="12">
        <v>109</v>
      </c>
      <c r="H7" s="8">
        <v>7.34</v>
      </c>
      <c r="I7" s="12">
        <v>0</v>
      </c>
    </row>
    <row r="8" spans="2:9" ht="15" customHeight="1" x14ac:dyDescent="0.2">
      <c r="B8" t="s">
        <v>64</v>
      </c>
      <c r="C8" s="12">
        <v>2</v>
      </c>
      <c r="D8" s="8">
        <v>0.09</v>
      </c>
      <c r="E8" s="12">
        <v>0</v>
      </c>
      <c r="F8" s="8">
        <v>0</v>
      </c>
      <c r="G8" s="12">
        <v>2</v>
      </c>
      <c r="H8" s="8">
        <v>0.13</v>
      </c>
      <c r="I8" s="12">
        <v>0</v>
      </c>
    </row>
    <row r="9" spans="2:9" ht="15" customHeight="1" x14ac:dyDescent="0.2">
      <c r="B9" t="s">
        <v>65</v>
      </c>
      <c r="C9" s="12">
        <v>27</v>
      </c>
      <c r="D9" s="8">
        <v>1.24</v>
      </c>
      <c r="E9" s="12">
        <v>0</v>
      </c>
      <c r="F9" s="8">
        <v>0</v>
      </c>
      <c r="G9" s="12">
        <v>27</v>
      </c>
      <c r="H9" s="8">
        <v>1.82</v>
      </c>
      <c r="I9" s="12">
        <v>0</v>
      </c>
    </row>
    <row r="10" spans="2:9" ht="15" customHeight="1" x14ac:dyDescent="0.2">
      <c r="B10" t="s">
        <v>66</v>
      </c>
      <c r="C10" s="12">
        <v>35</v>
      </c>
      <c r="D10" s="8">
        <v>1.61</v>
      </c>
      <c r="E10" s="12">
        <v>7</v>
      </c>
      <c r="F10" s="8">
        <v>1.03</v>
      </c>
      <c r="G10" s="12">
        <v>27</v>
      </c>
      <c r="H10" s="8">
        <v>1.82</v>
      </c>
      <c r="I10" s="12">
        <v>1</v>
      </c>
    </row>
    <row r="11" spans="2:9" ht="15" customHeight="1" x14ac:dyDescent="0.2">
      <c r="B11" t="s">
        <v>67</v>
      </c>
      <c r="C11" s="12">
        <v>424</v>
      </c>
      <c r="D11" s="8">
        <v>19.55</v>
      </c>
      <c r="E11" s="12">
        <v>114</v>
      </c>
      <c r="F11" s="8">
        <v>16.739999999999998</v>
      </c>
      <c r="G11" s="12">
        <v>310</v>
      </c>
      <c r="H11" s="8">
        <v>20.88</v>
      </c>
      <c r="I11" s="12">
        <v>0</v>
      </c>
    </row>
    <row r="12" spans="2:9" ht="15" customHeight="1" x14ac:dyDescent="0.2">
      <c r="B12" t="s">
        <v>68</v>
      </c>
      <c r="C12" s="12">
        <v>16</v>
      </c>
      <c r="D12" s="8">
        <v>0.74</v>
      </c>
      <c r="E12" s="12">
        <v>1</v>
      </c>
      <c r="F12" s="8">
        <v>0.15</v>
      </c>
      <c r="G12" s="12">
        <v>15</v>
      </c>
      <c r="H12" s="8">
        <v>1.01</v>
      </c>
      <c r="I12" s="12">
        <v>0</v>
      </c>
    </row>
    <row r="13" spans="2:9" ht="15" customHeight="1" x14ac:dyDescent="0.2">
      <c r="B13" t="s">
        <v>69</v>
      </c>
      <c r="C13" s="12">
        <v>187</v>
      </c>
      <c r="D13" s="8">
        <v>8.6199999999999992</v>
      </c>
      <c r="E13" s="12">
        <v>8</v>
      </c>
      <c r="F13" s="8">
        <v>1.17</v>
      </c>
      <c r="G13" s="12">
        <v>179</v>
      </c>
      <c r="H13" s="8">
        <v>12.05</v>
      </c>
      <c r="I13" s="12">
        <v>0</v>
      </c>
    </row>
    <row r="14" spans="2:9" ht="15" customHeight="1" x14ac:dyDescent="0.2">
      <c r="B14" t="s">
        <v>70</v>
      </c>
      <c r="C14" s="12">
        <v>94</v>
      </c>
      <c r="D14" s="8">
        <v>4.33</v>
      </c>
      <c r="E14" s="12">
        <v>30</v>
      </c>
      <c r="F14" s="8">
        <v>4.41</v>
      </c>
      <c r="G14" s="12">
        <v>64</v>
      </c>
      <c r="H14" s="8">
        <v>4.3099999999999996</v>
      </c>
      <c r="I14" s="12">
        <v>0</v>
      </c>
    </row>
    <row r="15" spans="2:9" ht="15" customHeight="1" x14ac:dyDescent="0.2">
      <c r="B15" t="s">
        <v>71</v>
      </c>
      <c r="C15" s="12">
        <v>179</v>
      </c>
      <c r="D15" s="8">
        <v>8.25</v>
      </c>
      <c r="E15" s="12">
        <v>128</v>
      </c>
      <c r="F15" s="8">
        <v>18.8</v>
      </c>
      <c r="G15" s="12">
        <v>51</v>
      </c>
      <c r="H15" s="8">
        <v>3.43</v>
      </c>
      <c r="I15" s="12">
        <v>0</v>
      </c>
    </row>
    <row r="16" spans="2:9" ht="15" customHeight="1" x14ac:dyDescent="0.2">
      <c r="B16" t="s">
        <v>72</v>
      </c>
      <c r="C16" s="12">
        <v>285</v>
      </c>
      <c r="D16" s="8">
        <v>13.14</v>
      </c>
      <c r="E16" s="12">
        <v>211</v>
      </c>
      <c r="F16" s="8">
        <v>30.98</v>
      </c>
      <c r="G16" s="12">
        <v>74</v>
      </c>
      <c r="H16" s="8">
        <v>4.9800000000000004</v>
      </c>
      <c r="I16" s="12">
        <v>0</v>
      </c>
    </row>
    <row r="17" spans="2:9" ht="15" customHeight="1" x14ac:dyDescent="0.2">
      <c r="B17" t="s">
        <v>73</v>
      </c>
      <c r="C17" s="12">
        <v>47</v>
      </c>
      <c r="D17" s="8">
        <v>2.17</v>
      </c>
      <c r="E17" s="12">
        <v>25</v>
      </c>
      <c r="F17" s="8">
        <v>3.67</v>
      </c>
      <c r="G17" s="12">
        <v>22</v>
      </c>
      <c r="H17" s="8">
        <v>1.48</v>
      </c>
      <c r="I17" s="12">
        <v>0</v>
      </c>
    </row>
    <row r="18" spans="2:9" ht="15" customHeight="1" x14ac:dyDescent="0.2">
      <c r="B18" t="s">
        <v>74</v>
      </c>
      <c r="C18" s="12">
        <v>114</v>
      </c>
      <c r="D18" s="8">
        <v>5.26</v>
      </c>
      <c r="E18" s="12">
        <v>71</v>
      </c>
      <c r="F18" s="8">
        <v>10.43</v>
      </c>
      <c r="G18" s="12">
        <v>43</v>
      </c>
      <c r="H18" s="8">
        <v>2.9</v>
      </c>
      <c r="I18" s="12">
        <v>0</v>
      </c>
    </row>
    <row r="19" spans="2:9" ht="15" customHeight="1" x14ac:dyDescent="0.2">
      <c r="B19" t="s">
        <v>75</v>
      </c>
      <c r="C19" s="12">
        <v>112</v>
      </c>
      <c r="D19" s="8">
        <v>5.16</v>
      </c>
      <c r="E19" s="12">
        <v>29</v>
      </c>
      <c r="F19" s="8">
        <v>4.26</v>
      </c>
      <c r="G19" s="12">
        <v>81</v>
      </c>
      <c r="H19" s="8">
        <v>5.45</v>
      </c>
      <c r="I19" s="12">
        <v>1</v>
      </c>
    </row>
    <row r="20" spans="2:9" ht="15" customHeight="1" x14ac:dyDescent="0.2">
      <c r="B20" s="9" t="s">
        <v>248</v>
      </c>
      <c r="C20" s="12">
        <f>SUM(LTBL_12104[総数／事業所数])</f>
        <v>2169</v>
      </c>
      <c r="E20" s="12">
        <f>SUBTOTAL(109,LTBL_12104[個人／事業所数])</f>
        <v>681</v>
      </c>
      <c r="G20" s="12">
        <f>SUBTOTAL(109,LTBL_12104[法人／事業所数])</f>
        <v>1485</v>
      </c>
      <c r="I20" s="12">
        <f>SUBTOTAL(109,LTBL_12104[法人以外の団体／事業所数])</f>
        <v>2</v>
      </c>
    </row>
    <row r="21" spans="2:9" ht="15" customHeight="1" x14ac:dyDescent="0.2">
      <c r="E21" s="11">
        <f>LTBL_12104[[#Totals],[個人／事業所数]]/LTBL_12104[[#Totals],[総数／事業所数]]</f>
        <v>0.31396957123098201</v>
      </c>
      <c r="G21" s="11">
        <f>LTBL_12104[[#Totals],[法人／事業所数]]/LTBL_12104[[#Totals],[総数／事業所数]]</f>
        <v>0.68464730290456433</v>
      </c>
      <c r="I21" s="11">
        <f>LTBL_12104[[#Totals],[法人以外の団体／事業所数]]/LTBL_12104[[#Totals],[総数／事業所数]]</f>
        <v>9.2208390963577683E-4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240</v>
      </c>
      <c r="D24" s="8">
        <v>11.07</v>
      </c>
      <c r="E24" s="12">
        <v>195</v>
      </c>
      <c r="F24" s="8">
        <v>28.63</v>
      </c>
      <c r="G24" s="12">
        <v>45</v>
      </c>
      <c r="H24" s="8">
        <v>3.03</v>
      </c>
      <c r="I24" s="12">
        <v>0</v>
      </c>
    </row>
    <row r="25" spans="2:9" ht="15" customHeight="1" x14ac:dyDescent="0.2">
      <c r="B25" t="s">
        <v>85</v>
      </c>
      <c r="C25" s="12">
        <v>181</v>
      </c>
      <c r="D25" s="8">
        <v>8.34</v>
      </c>
      <c r="E25" s="12">
        <v>24</v>
      </c>
      <c r="F25" s="8">
        <v>3.52</v>
      </c>
      <c r="G25" s="12">
        <v>157</v>
      </c>
      <c r="H25" s="8">
        <v>10.57</v>
      </c>
      <c r="I25" s="12">
        <v>0</v>
      </c>
    </row>
    <row r="26" spans="2:9" ht="15" customHeight="1" x14ac:dyDescent="0.2">
      <c r="B26" t="s">
        <v>84</v>
      </c>
      <c r="C26" s="12">
        <v>178</v>
      </c>
      <c r="D26" s="8">
        <v>8.2100000000000009</v>
      </c>
      <c r="E26" s="12">
        <v>7</v>
      </c>
      <c r="F26" s="8">
        <v>1.03</v>
      </c>
      <c r="G26" s="12">
        <v>171</v>
      </c>
      <c r="H26" s="8">
        <v>11.52</v>
      </c>
      <c r="I26" s="12">
        <v>0</v>
      </c>
    </row>
    <row r="27" spans="2:9" ht="15" customHeight="1" x14ac:dyDescent="0.2">
      <c r="B27" t="s">
        <v>86</v>
      </c>
      <c r="C27" s="12">
        <v>160</v>
      </c>
      <c r="D27" s="8">
        <v>7.38</v>
      </c>
      <c r="E27" s="12">
        <v>7</v>
      </c>
      <c r="F27" s="8">
        <v>1.03</v>
      </c>
      <c r="G27" s="12">
        <v>153</v>
      </c>
      <c r="H27" s="8">
        <v>10.3</v>
      </c>
      <c r="I27" s="12">
        <v>0</v>
      </c>
    </row>
    <row r="28" spans="2:9" ht="15" customHeight="1" x14ac:dyDescent="0.2">
      <c r="B28" t="s">
        <v>97</v>
      </c>
      <c r="C28" s="12">
        <v>160</v>
      </c>
      <c r="D28" s="8">
        <v>7.38</v>
      </c>
      <c r="E28" s="12">
        <v>124</v>
      </c>
      <c r="F28" s="8">
        <v>18.21</v>
      </c>
      <c r="G28" s="12">
        <v>36</v>
      </c>
      <c r="H28" s="8">
        <v>2.42</v>
      </c>
      <c r="I28" s="12">
        <v>0</v>
      </c>
    </row>
    <row r="29" spans="2:9" ht="15" customHeight="1" x14ac:dyDescent="0.2">
      <c r="B29" t="s">
        <v>94</v>
      </c>
      <c r="C29" s="12">
        <v>129</v>
      </c>
      <c r="D29" s="8">
        <v>5.95</v>
      </c>
      <c r="E29" s="12">
        <v>6</v>
      </c>
      <c r="F29" s="8">
        <v>0.88</v>
      </c>
      <c r="G29" s="12">
        <v>123</v>
      </c>
      <c r="H29" s="8">
        <v>8.2799999999999994</v>
      </c>
      <c r="I29" s="12">
        <v>0</v>
      </c>
    </row>
    <row r="30" spans="2:9" ht="15" customHeight="1" x14ac:dyDescent="0.2">
      <c r="B30" t="s">
        <v>92</v>
      </c>
      <c r="C30" s="12">
        <v>117</v>
      </c>
      <c r="D30" s="8">
        <v>5.39</v>
      </c>
      <c r="E30" s="12">
        <v>43</v>
      </c>
      <c r="F30" s="8">
        <v>6.31</v>
      </c>
      <c r="G30" s="12">
        <v>74</v>
      </c>
      <c r="H30" s="8">
        <v>4.9800000000000004</v>
      </c>
      <c r="I30" s="12">
        <v>0</v>
      </c>
    </row>
    <row r="31" spans="2:9" ht="15" customHeight="1" x14ac:dyDescent="0.2">
      <c r="B31" t="s">
        <v>101</v>
      </c>
      <c r="C31" s="12">
        <v>78</v>
      </c>
      <c r="D31" s="8">
        <v>3.6</v>
      </c>
      <c r="E31" s="12">
        <v>68</v>
      </c>
      <c r="F31" s="8">
        <v>9.99</v>
      </c>
      <c r="G31" s="12">
        <v>10</v>
      </c>
      <c r="H31" s="8">
        <v>0.67</v>
      </c>
      <c r="I31" s="12">
        <v>0</v>
      </c>
    </row>
    <row r="32" spans="2:9" ht="15" customHeight="1" x14ac:dyDescent="0.2">
      <c r="B32" t="s">
        <v>91</v>
      </c>
      <c r="C32" s="12">
        <v>74</v>
      </c>
      <c r="D32" s="8">
        <v>3.41</v>
      </c>
      <c r="E32" s="12">
        <v>18</v>
      </c>
      <c r="F32" s="8">
        <v>2.64</v>
      </c>
      <c r="G32" s="12">
        <v>56</v>
      </c>
      <c r="H32" s="8">
        <v>3.77</v>
      </c>
      <c r="I32" s="12">
        <v>0</v>
      </c>
    </row>
    <row r="33" spans="2:9" ht="15" customHeight="1" x14ac:dyDescent="0.2">
      <c r="B33" t="s">
        <v>90</v>
      </c>
      <c r="C33" s="12">
        <v>53</v>
      </c>
      <c r="D33" s="8">
        <v>2.44</v>
      </c>
      <c r="E33" s="12">
        <v>32</v>
      </c>
      <c r="F33" s="8">
        <v>4.7</v>
      </c>
      <c r="G33" s="12">
        <v>21</v>
      </c>
      <c r="H33" s="8">
        <v>1.41</v>
      </c>
      <c r="I33" s="12">
        <v>0</v>
      </c>
    </row>
    <row r="34" spans="2:9" ht="15" customHeight="1" x14ac:dyDescent="0.2">
      <c r="B34" t="s">
        <v>96</v>
      </c>
      <c r="C34" s="12">
        <v>48</v>
      </c>
      <c r="D34" s="8">
        <v>2.21</v>
      </c>
      <c r="E34" s="12">
        <v>10</v>
      </c>
      <c r="F34" s="8">
        <v>1.47</v>
      </c>
      <c r="G34" s="12">
        <v>38</v>
      </c>
      <c r="H34" s="8">
        <v>2.56</v>
      </c>
      <c r="I34" s="12">
        <v>0</v>
      </c>
    </row>
    <row r="35" spans="2:9" ht="15" customHeight="1" x14ac:dyDescent="0.2">
      <c r="B35" t="s">
        <v>103</v>
      </c>
      <c r="C35" s="12">
        <v>48</v>
      </c>
      <c r="D35" s="8">
        <v>2.21</v>
      </c>
      <c r="E35" s="12">
        <v>22</v>
      </c>
      <c r="F35" s="8">
        <v>3.23</v>
      </c>
      <c r="G35" s="12">
        <v>26</v>
      </c>
      <c r="H35" s="8">
        <v>1.75</v>
      </c>
      <c r="I35" s="12">
        <v>0</v>
      </c>
    </row>
    <row r="36" spans="2:9" ht="15" customHeight="1" x14ac:dyDescent="0.2">
      <c r="B36" t="s">
        <v>100</v>
      </c>
      <c r="C36" s="12">
        <v>47</v>
      </c>
      <c r="D36" s="8">
        <v>2.17</v>
      </c>
      <c r="E36" s="12">
        <v>25</v>
      </c>
      <c r="F36" s="8">
        <v>3.67</v>
      </c>
      <c r="G36" s="12">
        <v>22</v>
      </c>
      <c r="H36" s="8">
        <v>1.48</v>
      </c>
      <c r="I36" s="12">
        <v>0</v>
      </c>
    </row>
    <row r="37" spans="2:9" ht="15" customHeight="1" x14ac:dyDescent="0.2">
      <c r="B37" t="s">
        <v>95</v>
      </c>
      <c r="C37" s="12">
        <v>45</v>
      </c>
      <c r="D37" s="8">
        <v>2.0699999999999998</v>
      </c>
      <c r="E37" s="12">
        <v>20</v>
      </c>
      <c r="F37" s="8">
        <v>2.94</v>
      </c>
      <c r="G37" s="12">
        <v>25</v>
      </c>
      <c r="H37" s="8">
        <v>1.68</v>
      </c>
      <c r="I37" s="12">
        <v>0</v>
      </c>
    </row>
    <row r="38" spans="2:9" ht="15" customHeight="1" x14ac:dyDescent="0.2">
      <c r="B38" t="s">
        <v>87</v>
      </c>
      <c r="C38" s="12">
        <v>43</v>
      </c>
      <c r="D38" s="8">
        <v>1.98</v>
      </c>
      <c r="E38" s="12">
        <v>4</v>
      </c>
      <c r="F38" s="8">
        <v>0.59</v>
      </c>
      <c r="G38" s="12">
        <v>39</v>
      </c>
      <c r="H38" s="8">
        <v>2.63</v>
      </c>
      <c r="I38" s="12">
        <v>0</v>
      </c>
    </row>
    <row r="39" spans="2:9" ht="15" customHeight="1" x14ac:dyDescent="0.2">
      <c r="B39" t="s">
        <v>93</v>
      </c>
      <c r="C39" s="12">
        <v>42</v>
      </c>
      <c r="D39" s="8">
        <v>1.94</v>
      </c>
      <c r="E39" s="12">
        <v>1</v>
      </c>
      <c r="F39" s="8">
        <v>0.15</v>
      </c>
      <c r="G39" s="12">
        <v>41</v>
      </c>
      <c r="H39" s="8">
        <v>2.76</v>
      </c>
      <c r="I39" s="12">
        <v>0</v>
      </c>
    </row>
    <row r="40" spans="2:9" ht="15" customHeight="1" x14ac:dyDescent="0.2">
      <c r="B40" t="s">
        <v>88</v>
      </c>
      <c r="C40" s="12">
        <v>38</v>
      </c>
      <c r="D40" s="8">
        <v>1.75</v>
      </c>
      <c r="E40" s="12">
        <v>2</v>
      </c>
      <c r="F40" s="8">
        <v>0.28999999999999998</v>
      </c>
      <c r="G40" s="12">
        <v>36</v>
      </c>
      <c r="H40" s="8">
        <v>2.42</v>
      </c>
      <c r="I40" s="12">
        <v>0</v>
      </c>
    </row>
    <row r="41" spans="2:9" ht="15" customHeight="1" x14ac:dyDescent="0.2">
      <c r="B41" t="s">
        <v>104</v>
      </c>
      <c r="C41" s="12">
        <v>38</v>
      </c>
      <c r="D41" s="8">
        <v>1.75</v>
      </c>
      <c r="E41" s="12">
        <v>5</v>
      </c>
      <c r="F41" s="8">
        <v>0.73</v>
      </c>
      <c r="G41" s="12">
        <v>33</v>
      </c>
      <c r="H41" s="8">
        <v>2.2200000000000002</v>
      </c>
      <c r="I41" s="12">
        <v>0</v>
      </c>
    </row>
    <row r="42" spans="2:9" ht="15" customHeight="1" x14ac:dyDescent="0.2">
      <c r="B42" t="s">
        <v>102</v>
      </c>
      <c r="C42" s="12">
        <v>36</v>
      </c>
      <c r="D42" s="8">
        <v>1.66</v>
      </c>
      <c r="E42" s="12">
        <v>3</v>
      </c>
      <c r="F42" s="8">
        <v>0.44</v>
      </c>
      <c r="G42" s="12">
        <v>33</v>
      </c>
      <c r="H42" s="8">
        <v>2.2200000000000002</v>
      </c>
      <c r="I42" s="12">
        <v>0</v>
      </c>
    </row>
    <row r="43" spans="2:9" ht="15" customHeight="1" x14ac:dyDescent="0.2">
      <c r="B43" t="s">
        <v>99</v>
      </c>
      <c r="C43" s="12">
        <v>32</v>
      </c>
      <c r="D43" s="8">
        <v>1.48</v>
      </c>
      <c r="E43" s="12">
        <v>12</v>
      </c>
      <c r="F43" s="8">
        <v>1.76</v>
      </c>
      <c r="G43" s="12">
        <v>20</v>
      </c>
      <c r="H43" s="8">
        <v>1.35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112</v>
      </c>
      <c r="D47" s="8">
        <v>5.16</v>
      </c>
      <c r="E47" s="12">
        <v>97</v>
      </c>
      <c r="F47" s="8">
        <v>14.24</v>
      </c>
      <c r="G47" s="12">
        <v>15</v>
      </c>
      <c r="H47" s="8">
        <v>1.01</v>
      </c>
      <c r="I47" s="12">
        <v>0</v>
      </c>
    </row>
    <row r="48" spans="2:9" ht="15" customHeight="1" x14ac:dyDescent="0.2">
      <c r="B48" t="s">
        <v>163</v>
      </c>
      <c r="C48" s="12">
        <v>89</v>
      </c>
      <c r="D48" s="8">
        <v>4.0999999999999996</v>
      </c>
      <c r="E48" s="12">
        <v>84</v>
      </c>
      <c r="F48" s="8">
        <v>12.33</v>
      </c>
      <c r="G48" s="12">
        <v>5</v>
      </c>
      <c r="H48" s="8">
        <v>0.34</v>
      </c>
      <c r="I48" s="12">
        <v>0</v>
      </c>
    </row>
    <row r="49" spans="2:9" ht="15" customHeight="1" x14ac:dyDescent="0.2">
      <c r="B49" t="s">
        <v>153</v>
      </c>
      <c r="C49" s="12">
        <v>67</v>
      </c>
      <c r="D49" s="8">
        <v>3.09</v>
      </c>
      <c r="E49" s="12">
        <v>2</v>
      </c>
      <c r="F49" s="8">
        <v>0.28999999999999998</v>
      </c>
      <c r="G49" s="12">
        <v>65</v>
      </c>
      <c r="H49" s="8">
        <v>4.38</v>
      </c>
      <c r="I49" s="12">
        <v>0</v>
      </c>
    </row>
    <row r="50" spans="2:9" ht="15" customHeight="1" x14ac:dyDescent="0.2">
      <c r="B50" t="s">
        <v>152</v>
      </c>
      <c r="C50" s="12">
        <v>65</v>
      </c>
      <c r="D50" s="8">
        <v>3</v>
      </c>
      <c r="E50" s="12">
        <v>3</v>
      </c>
      <c r="F50" s="8">
        <v>0.44</v>
      </c>
      <c r="G50" s="12">
        <v>62</v>
      </c>
      <c r="H50" s="8">
        <v>4.18</v>
      </c>
      <c r="I50" s="12">
        <v>0</v>
      </c>
    </row>
    <row r="51" spans="2:9" ht="15" customHeight="1" x14ac:dyDescent="0.2">
      <c r="B51" t="s">
        <v>158</v>
      </c>
      <c r="C51" s="12">
        <v>57</v>
      </c>
      <c r="D51" s="8">
        <v>2.63</v>
      </c>
      <c r="E51" s="12">
        <v>4</v>
      </c>
      <c r="F51" s="8">
        <v>0.59</v>
      </c>
      <c r="G51" s="12">
        <v>53</v>
      </c>
      <c r="H51" s="8">
        <v>3.57</v>
      </c>
      <c r="I51" s="12">
        <v>0</v>
      </c>
    </row>
    <row r="52" spans="2:9" ht="15" customHeight="1" x14ac:dyDescent="0.2">
      <c r="B52" t="s">
        <v>148</v>
      </c>
      <c r="C52" s="12">
        <v>54</v>
      </c>
      <c r="D52" s="8">
        <v>2.4900000000000002</v>
      </c>
      <c r="E52" s="12">
        <v>1</v>
      </c>
      <c r="F52" s="8">
        <v>0.15</v>
      </c>
      <c r="G52" s="12">
        <v>53</v>
      </c>
      <c r="H52" s="8">
        <v>3.57</v>
      </c>
      <c r="I52" s="12">
        <v>0</v>
      </c>
    </row>
    <row r="53" spans="2:9" ht="15" customHeight="1" x14ac:dyDescent="0.2">
      <c r="B53" t="s">
        <v>151</v>
      </c>
      <c r="C53" s="12">
        <v>54</v>
      </c>
      <c r="D53" s="8">
        <v>2.4900000000000002</v>
      </c>
      <c r="E53" s="12">
        <v>2</v>
      </c>
      <c r="F53" s="8">
        <v>0.28999999999999998</v>
      </c>
      <c r="G53" s="12">
        <v>52</v>
      </c>
      <c r="H53" s="8">
        <v>3.5</v>
      </c>
      <c r="I53" s="12">
        <v>0</v>
      </c>
    </row>
    <row r="54" spans="2:9" ht="15" customHeight="1" x14ac:dyDescent="0.2">
      <c r="B54" t="s">
        <v>155</v>
      </c>
      <c r="C54" s="12">
        <v>52</v>
      </c>
      <c r="D54" s="8">
        <v>2.4</v>
      </c>
      <c r="E54" s="12">
        <v>10</v>
      </c>
      <c r="F54" s="8">
        <v>1.47</v>
      </c>
      <c r="G54" s="12">
        <v>42</v>
      </c>
      <c r="H54" s="8">
        <v>2.83</v>
      </c>
      <c r="I54" s="12">
        <v>0</v>
      </c>
    </row>
    <row r="55" spans="2:9" ht="15" customHeight="1" x14ac:dyDescent="0.2">
      <c r="B55" t="s">
        <v>162</v>
      </c>
      <c r="C55" s="12">
        <v>51</v>
      </c>
      <c r="D55" s="8">
        <v>2.35</v>
      </c>
      <c r="E55" s="12">
        <v>42</v>
      </c>
      <c r="F55" s="8">
        <v>6.17</v>
      </c>
      <c r="G55" s="12">
        <v>9</v>
      </c>
      <c r="H55" s="8">
        <v>0.61</v>
      </c>
      <c r="I55" s="12">
        <v>0</v>
      </c>
    </row>
    <row r="56" spans="2:9" ht="15" customHeight="1" x14ac:dyDescent="0.2">
      <c r="B56" t="s">
        <v>167</v>
      </c>
      <c r="C56" s="12">
        <v>47</v>
      </c>
      <c r="D56" s="8">
        <v>2.17</v>
      </c>
      <c r="E56" s="12">
        <v>22</v>
      </c>
      <c r="F56" s="8">
        <v>3.23</v>
      </c>
      <c r="G56" s="12">
        <v>25</v>
      </c>
      <c r="H56" s="8">
        <v>1.68</v>
      </c>
      <c r="I56" s="12">
        <v>0</v>
      </c>
    </row>
    <row r="57" spans="2:9" ht="15" customHeight="1" x14ac:dyDescent="0.2">
      <c r="B57" t="s">
        <v>161</v>
      </c>
      <c r="C57" s="12">
        <v>45</v>
      </c>
      <c r="D57" s="8">
        <v>2.0699999999999998</v>
      </c>
      <c r="E57" s="12">
        <v>30</v>
      </c>
      <c r="F57" s="8">
        <v>4.41</v>
      </c>
      <c r="G57" s="12">
        <v>15</v>
      </c>
      <c r="H57" s="8">
        <v>1.01</v>
      </c>
      <c r="I57" s="12">
        <v>0</v>
      </c>
    </row>
    <row r="58" spans="2:9" ht="15" customHeight="1" x14ac:dyDescent="0.2">
      <c r="B58" t="s">
        <v>174</v>
      </c>
      <c r="C58" s="12">
        <v>43</v>
      </c>
      <c r="D58" s="8">
        <v>1.98</v>
      </c>
      <c r="E58" s="12">
        <v>5</v>
      </c>
      <c r="F58" s="8">
        <v>0.73</v>
      </c>
      <c r="G58" s="12">
        <v>38</v>
      </c>
      <c r="H58" s="8">
        <v>2.56</v>
      </c>
      <c r="I58" s="12">
        <v>0</v>
      </c>
    </row>
    <row r="59" spans="2:9" ht="15" customHeight="1" x14ac:dyDescent="0.2">
      <c r="B59" t="s">
        <v>166</v>
      </c>
      <c r="C59" s="12">
        <v>42</v>
      </c>
      <c r="D59" s="8">
        <v>1.94</v>
      </c>
      <c r="E59" s="12">
        <v>37</v>
      </c>
      <c r="F59" s="8">
        <v>5.43</v>
      </c>
      <c r="G59" s="12">
        <v>5</v>
      </c>
      <c r="H59" s="8">
        <v>0.34</v>
      </c>
      <c r="I59" s="12">
        <v>0</v>
      </c>
    </row>
    <row r="60" spans="2:9" ht="15" customHeight="1" x14ac:dyDescent="0.2">
      <c r="B60" t="s">
        <v>156</v>
      </c>
      <c r="C60" s="12">
        <v>37</v>
      </c>
      <c r="D60" s="8">
        <v>1.71</v>
      </c>
      <c r="E60" s="12">
        <v>15</v>
      </c>
      <c r="F60" s="8">
        <v>2.2000000000000002</v>
      </c>
      <c r="G60" s="12">
        <v>22</v>
      </c>
      <c r="H60" s="8">
        <v>1.48</v>
      </c>
      <c r="I60" s="12">
        <v>0</v>
      </c>
    </row>
    <row r="61" spans="2:9" ht="15" customHeight="1" x14ac:dyDescent="0.2">
      <c r="B61" t="s">
        <v>149</v>
      </c>
      <c r="C61" s="12">
        <v>36</v>
      </c>
      <c r="D61" s="8">
        <v>1.66</v>
      </c>
      <c r="E61" s="12">
        <v>0</v>
      </c>
      <c r="F61" s="8">
        <v>0</v>
      </c>
      <c r="G61" s="12">
        <v>36</v>
      </c>
      <c r="H61" s="8">
        <v>2.42</v>
      </c>
      <c r="I61" s="12">
        <v>0</v>
      </c>
    </row>
    <row r="62" spans="2:9" ht="15" customHeight="1" x14ac:dyDescent="0.2">
      <c r="B62" t="s">
        <v>176</v>
      </c>
      <c r="C62" s="12">
        <v>36</v>
      </c>
      <c r="D62" s="8">
        <v>1.66</v>
      </c>
      <c r="E62" s="12">
        <v>6</v>
      </c>
      <c r="F62" s="8">
        <v>0.88</v>
      </c>
      <c r="G62" s="12">
        <v>30</v>
      </c>
      <c r="H62" s="8">
        <v>2.02</v>
      </c>
      <c r="I62" s="12">
        <v>0</v>
      </c>
    </row>
    <row r="63" spans="2:9" ht="15" customHeight="1" x14ac:dyDescent="0.2">
      <c r="B63" t="s">
        <v>157</v>
      </c>
      <c r="C63" s="12">
        <v>35</v>
      </c>
      <c r="D63" s="8">
        <v>1.61</v>
      </c>
      <c r="E63" s="12">
        <v>0</v>
      </c>
      <c r="F63" s="8">
        <v>0</v>
      </c>
      <c r="G63" s="12">
        <v>35</v>
      </c>
      <c r="H63" s="8">
        <v>2.36</v>
      </c>
      <c r="I63" s="12">
        <v>0</v>
      </c>
    </row>
    <row r="64" spans="2:9" ht="15" customHeight="1" x14ac:dyDescent="0.2">
      <c r="B64" t="s">
        <v>175</v>
      </c>
      <c r="C64" s="12">
        <v>34</v>
      </c>
      <c r="D64" s="8">
        <v>1.57</v>
      </c>
      <c r="E64" s="12">
        <v>0</v>
      </c>
      <c r="F64" s="8">
        <v>0</v>
      </c>
      <c r="G64" s="12">
        <v>34</v>
      </c>
      <c r="H64" s="8">
        <v>2.29</v>
      </c>
      <c r="I64" s="12">
        <v>0</v>
      </c>
    </row>
    <row r="65" spans="2:9" ht="15" customHeight="1" x14ac:dyDescent="0.2">
      <c r="B65" t="s">
        <v>169</v>
      </c>
      <c r="C65" s="12">
        <v>30</v>
      </c>
      <c r="D65" s="8">
        <v>1.38</v>
      </c>
      <c r="E65" s="12">
        <v>9</v>
      </c>
      <c r="F65" s="8">
        <v>1.32</v>
      </c>
      <c r="G65" s="12">
        <v>21</v>
      </c>
      <c r="H65" s="8">
        <v>1.41</v>
      </c>
      <c r="I65" s="12">
        <v>0</v>
      </c>
    </row>
    <row r="66" spans="2:9" ht="15" customHeight="1" x14ac:dyDescent="0.2">
      <c r="B66" t="s">
        <v>165</v>
      </c>
      <c r="C66" s="12">
        <v>30</v>
      </c>
      <c r="D66" s="8">
        <v>1.38</v>
      </c>
      <c r="E66" s="12">
        <v>19</v>
      </c>
      <c r="F66" s="8">
        <v>2.79</v>
      </c>
      <c r="G66" s="12">
        <v>11</v>
      </c>
      <c r="H66" s="8">
        <v>0.74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C729B-62B7-481E-A703-B20D7879C512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257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190</v>
      </c>
      <c r="D6" s="8">
        <v>16.05</v>
      </c>
      <c r="E6" s="12">
        <v>17</v>
      </c>
      <c r="F6" s="8">
        <v>4.0199999999999996</v>
      </c>
      <c r="G6" s="12">
        <v>173</v>
      </c>
      <c r="H6" s="8">
        <v>22.79</v>
      </c>
      <c r="I6" s="12">
        <v>0</v>
      </c>
    </row>
    <row r="7" spans="2:9" ht="15" customHeight="1" x14ac:dyDescent="0.2">
      <c r="B7" t="s">
        <v>63</v>
      </c>
      <c r="C7" s="12">
        <v>47</v>
      </c>
      <c r="D7" s="8">
        <v>3.97</v>
      </c>
      <c r="E7" s="12">
        <v>6</v>
      </c>
      <c r="F7" s="8">
        <v>1.42</v>
      </c>
      <c r="G7" s="12">
        <v>41</v>
      </c>
      <c r="H7" s="8">
        <v>5.4</v>
      </c>
      <c r="I7" s="12">
        <v>0</v>
      </c>
    </row>
    <row r="8" spans="2:9" ht="15" customHeight="1" x14ac:dyDescent="0.2">
      <c r="B8" t="s">
        <v>64</v>
      </c>
      <c r="C8" s="12">
        <v>4</v>
      </c>
      <c r="D8" s="8">
        <v>0.34</v>
      </c>
      <c r="E8" s="12">
        <v>0</v>
      </c>
      <c r="F8" s="8">
        <v>0</v>
      </c>
      <c r="G8" s="12">
        <v>4</v>
      </c>
      <c r="H8" s="8">
        <v>0.53</v>
      </c>
      <c r="I8" s="12">
        <v>0</v>
      </c>
    </row>
    <row r="9" spans="2:9" ht="15" customHeight="1" x14ac:dyDescent="0.2">
      <c r="B9" t="s">
        <v>65</v>
      </c>
      <c r="C9" s="12">
        <v>19</v>
      </c>
      <c r="D9" s="8">
        <v>1.6</v>
      </c>
      <c r="E9" s="12">
        <v>0</v>
      </c>
      <c r="F9" s="8">
        <v>0</v>
      </c>
      <c r="G9" s="12">
        <v>19</v>
      </c>
      <c r="H9" s="8">
        <v>2.5</v>
      </c>
      <c r="I9" s="12">
        <v>0</v>
      </c>
    </row>
    <row r="10" spans="2:9" ht="15" customHeight="1" x14ac:dyDescent="0.2">
      <c r="B10" t="s">
        <v>66</v>
      </c>
      <c r="C10" s="12">
        <v>12</v>
      </c>
      <c r="D10" s="8">
        <v>1.01</v>
      </c>
      <c r="E10" s="12">
        <v>3</v>
      </c>
      <c r="F10" s="8">
        <v>0.71</v>
      </c>
      <c r="G10" s="12">
        <v>9</v>
      </c>
      <c r="H10" s="8">
        <v>1.19</v>
      </c>
      <c r="I10" s="12">
        <v>0</v>
      </c>
    </row>
    <row r="11" spans="2:9" ht="15" customHeight="1" x14ac:dyDescent="0.2">
      <c r="B11" t="s">
        <v>67</v>
      </c>
      <c r="C11" s="12">
        <v>203</v>
      </c>
      <c r="D11" s="8">
        <v>17.149999999999999</v>
      </c>
      <c r="E11" s="12">
        <v>53</v>
      </c>
      <c r="F11" s="8">
        <v>12.53</v>
      </c>
      <c r="G11" s="12">
        <v>150</v>
      </c>
      <c r="H11" s="8">
        <v>19.760000000000002</v>
      </c>
      <c r="I11" s="12">
        <v>0</v>
      </c>
    </row>
    <row r="12" spans="2:9" ht="15" customHeight="1" x14ac:dyDescent="0.2">
      <c r="B12" t="s">
        <v>68</v>
      </c>
      <c r="C12" s="12">
        <v>8</v>
      </c>
      <c r="D12" s="8">
        <v>0.68</v>
      </c>
      <c r="E12" s="12">
        <v>2</v>
      </c>
      <c r="F12" s="8">
        <v>0.47</v>
      </c>
      <c r="G12" s="12">
        <v>6</v>
      </c>
      <c r="H12" s="8">
        <v>0.79</v>
      </c>
      <c r="I12" s="12">
        <v>0</v>
      </c>
    </row>
    <row r="13" spans="2:9" ht="15" customHeight="1" x14ac:dyDescent="0.2">
      <c r="B13" t="s">
        <v>69</v>
      </c>
      <c r="C13" s="12">
        <v>102</v>
      </c>
      <c r="D13" s="8">
        <v>8.61</v>
      </c>
      <c r="E13" s="12">
        <v>7</v>
      </c>
      <c r="F13" s="8">
        <v>1.65</v>
      </c>
      <c r="G13" s="12">
        <v>95</v>
      </c>
      <c r="H13" s="8">
        <v>12.52</v>
      </c>
      <c r="I13" s="12">
        <v>0</v>
      </c>
    </row>
    <row r="14" spans="2:9" ht="15" customHeight="1" x14ac:dyDescent="0.2">
      <c r="B14" t="s">
        <v>70</v>
      </c>
      <c r="C14" s="12">
        <v>74</v>
      </c>
      <c r="D14" s="8">
        <v>6.25</v>
      </c>
      <c r="E14" s="12">
        <v>22</v>
      </c>
      <c r="F14" s="8">
        <v>5.2</v>
      </c>
      <c r="G14" s="12">
        <v>52</v>
      </c>
      <c r="H14" s="8">
        <v>6.85</v>
      </c>
      <c r="I14" s="12">
        <v>0</v>
      </c>
    </row>
    <row r="15" spans="2:9" ht="15" customHeight="1" x14ac:dyDescent="0.2">
      <c r="B15" t="s">
        <v>71</v>
      </c>
      <c r="C15" s="12">
        <v>84</v>
      </c>
      <c r="D15" s="8">
        <v>7.09</v>
      </c>
      <c r="E15" s="12">
        <v>53</v>
      </c>
      <c r="F15" s="8">
        <v>12.53</v>
      </c>
      <c r="G15" s="12">
        <v>31</v>
      </c>
      <c r="H15" s="8">
        <v>4.08</v>
      </c>
      <c r="I15" s="12">
        <v>0</v>
      </c>
    </row>
    <row r="16" spans="2:9" ht="15" customHeight="1" x14ac:dyDescent="0.2">
      <c r="B16" t="s">
        <v>72</v>
      </c>
      <c r="C16" s="12">
        <v>216</v>
      </c>
      <c r="D16" s="8">
        <v>18.239999999999998</v>
      </c>
      <c r="E16" s="12">
        <v>148</v>
      </c>
      <c r="F16" s="8">
        <v>34.99</v>
      </c>
      <c r="G16" s="12">
        <v>68</v>
      </c>
      <c r="H16" s="8">
        <v>8.9600000000000009</v>
      </c>
      <c r="I16" s="12">
        <v>0</v>
      </c>
    </row>
    <row r="17" spans="2:9" ht="15" customHeight="1" x14ac:dyDescent="0.2">
      <c r="B17" t="s">
        <v>73</v>
      </c>
      <c r="C17" s="12">
        <v>86</v>
      </c>
      <c r="D17" s="8">
        <v>7.26</v>
      </c>
      <c r="E17" s="12">
        <v>48</v>
      </c>
      <c r="F17" s="8">
        <v>11.35</v>
      </c>
      <c r="G17" s="12">
        <v>37</v>
      </c>
      <c r="H17" s="8">
        <v>4.87</v>
      </c>
      <c r="I17" s="12">
        <v>0</v>
      </c>
    </row>
    <row r="18" spans="2:9" ht="15" customHeight="1" x14ac:dyDescent="0.2">
      <c r="B18" t="s">
        <v>74</v>
      </c>
      <c r="C18" s="12">
        <v>92</v>
      </c>
      <c r="D18" s="8">
        <v>7.77</v>
      </c>
      <c r="E18" s="12">
        <v>53</v>
      </c>
      <c r="F18" s="8">
        <v>12.53</v>
      </c>
      <c r="G18" s="12">
        <v>39</v>
      </c>
      <c r="H18" s="8">
        <v>5.14</v>
      </c>
      <c r="I18" s="12">
        <v>0</v>
      </c>
    </row>
    <row r="19" spans="2:9" ht="15" customHeight="1" x14ac:dyDescent="0.2">
      <c r="B19" t="s">
        <v>75</v>
      </c>
      <c r="C19" s="12">
        <v>47</v>
      </c>
      <c r="D19" s="8">
        <v>3.97</v>
      </c>
      <c r="E19" s="12">
        <v>11</v>
      </c>
      <c r="F19" s="8">
        <v>2.6</v>
      </c>
      <c r="G19" s="12">
        <v>35</v>
      </c>
      <c r="H19" s="8">
        <v>4.6100000000000003</v>
      </c>
      <c r="I19" s="12">
        <v>1</v>
      </c>
    </row>
    <row r="20" spans="2:9" ht="15" customHeight="1" x14ac:dyDescent="0.2">
      <c r="B20" s="9" t="s">
        <v>248</v>
      </c>
      <c r="C20" s="12">
        <f>SUM(LTBL_12105[総数／事業所数])</f>
        <v>1184</v>
      </c>
      <c r="E20" s="12">
        <f>SUBTOTAL(109,LTBL_12105[個人／事業所数])</f>
        <v>423</v>
      </c>
      <c r="G20" s="12">
        <f>SUBTOTAL(109,LTBL_12105[法人／事業所数])</f>
        <v>759</v>
      </c>
      <c r="I20" s="12">
        <f>SUBTOTAL(109,LTBL_12105[法人以外の団体／事業所数])</f>
        <v>1</v>
      </c>
    </row>
    <row r="21" spans="2:9" ht="15" customHeight="1" x14ac:dyDescent="0.2">
      <c r="E21" s="11">
        <f>LTBL_12105[[#Totals],[個人／事業所数]]/LTBL_12105[[#Totals],[総数／事業所数]]</f>
        <v>0.35726351351351349</v>
      </c>
      <c r="G21" s="11">
        <f>LTBL_12105[[#Totals],[法人／事業所数]]/LTBL_12105[[#Totals],[総数／事業所数]]</f>
        <v>0.64104729729729726</v>
      </c>
      <c r="I21" s="11">
        <f>LTBL_12105[[#Totals],[法人以外の団体／事業所数]]/LTBL_12105[[#Totals],[総数／事業所数]]</f>
        <v>8.4459459459459464E-4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179</v>
      </c>
      <c r="D24" s="8">
        <v>15.12</v>
      </c>
      <c r="E24" s="12">
        <v>134</v>
      </c>
      <c r="F24" s="8">
        <v>31.68</v>
      </c>
      <c r="G24" s="12">
        <v>45</v>
      </c>
      <c r="H24" s="8">
        <v>5.93</v>
      </c>
      <c r="I24" s="12">
        <v>0</v>
      </c>
    </row>
    <row r="25" spans="2:9" ht="15" customHeight="1" x14ac:dyDescent="0.2">
      <c r="B25" t="s">
        <v>100</v>
      </c>
      <c r="C25" s="12">
        <v>86</v>
      </c>
      <c r="D25" s="8">
        <v>7.26</v>
      </c>
      <c r="E25" s="12">
        <v>48</v>
      </c>
      <c r="F25" s="8">
        <v>11.35</v>
      </c>
      <c r="G25" s="12">
        <v>37</v>
      </c>
      <c r="H25" s="8">
        <v>4.87</v>
      </c>
      <c r="I25" s="12">
        <v>0</v>
      </c>
    </row>
    <row r="26" spans="2:9" ht="15" customHeight="1" x14ac:dyDescent="0.2">
      <c r="B26" t="s">
        <v>84</v>
      </c>
      <c r="C26" s="12">
        <v>77</v>
      </c>
      <c r="D26" s="8">
        <v>6.5</v>
      </c>
      <c r="E26" s="12">
        <v>3</v>
      </c>
      <c r="F26" s="8">
        <v>0.71</v>
      </c>
      <c r="G26" s="12">
        <v>74</v>
      </c>
      <c r="H26" s="8">
        <v>9.75</v>
      </c>
      <c r="I26" s="12">
        <v>0</v>
      </c>
    </row>
    <row r="27" spans="2:9" ht="15" customHeight="1" x14ac:dyDescent="0.2">
      <c r="B27" t="s">
        <v>94</v>
      </c>
      <c r="C27" s="12">
        <v>76</v>
      </c>
      <c r="D27" s="8">
        <v>6.42</v>
      </c>
      <c r="E27" s="12">
        <v>6</v>
      </c>
      <c r="F27" s="8">
        <v>1.42</v>
      </c>
      <c r="G27" s="12">
        <v>70</v>
      </c>
      <c r="H27" s="8">
        <v>9.2200000000000006</v>
      </c>
      <c r="I27" s="12">
        <v>0</v>
      </c>
    </row>
    <row r="28" spans="2:9" ht="15" customHeight="1" x14ac:dyDescent="0.2">
      <c r="B28" t="s">
        <v>101</v>
      </c>
      <c r="C28" s="12">
        <v>68</v>
      </c>
      <c r="D28" s="8">
        <v>5.74</v>
      </c>
      <c r="E28" s="12">
        <v>52</v>
      </c>
      <c r="F28" s="8">
        <v>12.29</v>
      </c>
      <c r="G28" s="12">
        <v>16</v>
      </c>
      <c r="H28" s="8">
        <v>2.11</v>
      </c>
      <c r="I28" s="12">
        <v>0</v>
      </c>
    </row>
    <row r="29" spans="2:9" ht="15" customHeight="1" x14ac:dyDescent="0.2">
      <c r="B29" t="s">
        <v>97</v>
      </c>
      <c r="C29" s="12">
        <v>67</v>
      </c>
      <c r="D29" s="8">
        <v>5.66</v>
      </c>
      <c r="E29" s="12">
        <v>51</v>
      </c>
      <c r="F29" s="8">
        <v>12.06</v>
      </c>
      <c r="G29" s="12">
        <v>16</v>
      </c>
      <c r="H29" s="8">
        <v>2.11</v>
      </c>
      <c r="I29" s="12">
        <v>0</v>
      </c>
    </row>
    <row r="30" spans="2:9" ht="15" customHeight="1" x14ac:dyDescent="0.2">
      <c r="B30" t="s">
        <v>85</v>
      </c>
      <c r="C30" s="12">
        <v>62</v>
      </c>
      <c r="D30" s="8">
        <v>5.24</v>
      </c>
      <c r="E30" s="12">
        <v>9</v>
      </c>
      <c r="F30" s="8">
        <v>2.13</v>
      </c>
      <c r="G30" s="12">
        <v>53</v>
      </c>
      <c r="H30" s="8">
        <v>6.98</v>
      </c>
      <c r="I30" s="12">
        <v>0</v>
      </c>
    </row>
    <row r="31" spans="2:9" ht="15" customHeight="1" x14ac:dyDescent="0.2">
      <c r="B31" t="s">
        <v>92</v>
      </c>
      <c r="C31" s="12">
        <v>56</v>
      </c>
      <c r="D31" s="8">
        <v>4.7300000000000004</v>
      </c>
      <c r="E31" s="12">
        <v>15</v>
      </c>
      <c r="F31" s="8">
        <v>3.55</v>
      </c>
      <c r="G31" s="12">
        <v>41</v>
      </c>
      <c r="H31" s="8">
        <v>5.4</v>
      </c>
      <c r="I31" s="12">
        <v>0</v>
      </c>
    </row>
    <row r="32" spans="2:9" ht="15" customHeight="1" x14ac:dyDescent="0.2">
      <c r="B32" t="s">
        <v>86</v>
      </c>
      <c r="C32" s="12">
        <v>51</v>
      </c>
      <c r="D32" s="8">
        <v>4.3099999999999996</v>
      </c>
      <c r="E32" s="12">
        <v>5</v>
      </c>
      <c r="F32" s="8">
        <v>1.18</v>
      </c>
      <c r="G32" s="12">
        <v>46</v>
      </c>
      <c r="H32" s="8">
        <v>6.06</v>
      </c>
      <c r="I32" s="12">
        <v>0</v>
      </c>
    </row>
    <row r="33" spans="2:9" ht="15" customHeight="1" x14ac:dyDescent="0.2">
      <c r="B33" t="s">
        <v>95</v>
      </c>
      <c r="C33" s="12">
        <v>46</v>
      </c>
      <c r="D33" s="8">
        <v>3.89</v>
      </c>
      <c r="E33" s="12">
        <v>18</v>
      </c>
      <c r="F33" s="8">
        <v>4.26</v>
      </c>
      <c r="G33" s="12">
        <v>28</v>
      </c>
      <c r="H33" s="8">
        <v>3.69</v>
      </c>
      <c r="I33" s="12">
        <v>0</v>
      </c>
    </row>
    <row r="34" spans="2:9" ht="15" customHeight="1" x14ac:dyDescent="0.2">
      <c r="B34" t="s">
        <v>90</v>
      </c>
      <c r="C34" s="12">
        <v>34</v>
      </c>
      <c r="D34" s="8">
        <v>2.87</v>
      </c>
      <c r="E34" s="12">
        <v>19</v>
      </c>
      <c r="F34" s="8">
        <v>4.49</v>
      </c>
      <c r="G34" s="12">
        <v>15</v>
      </c>
      <c r="H34" s="8">
        <v>1.98</v>
      </c>
      <c r="I34" s="12">
        <v>0</v>
      </c>
    </row>
    <row r="35" spans="2:9" ht="15" customHeight="1" x14ac:dyDescent="0.2">
      <c r="B35" t="s">
        <v>91</v>
      </c>
      <c r="C35" s="12">
        <v>27</v>
      </c>
      <c r="D35" s="8">
        <v>2.2799999999999998</v>
      </c>
      <c r="E35" s="12">
        <v>11</v>
      </c>
      <c r="F35" s="8">
        <v>2.6</v>
      </c>
      <c r="G35" s="12">
        <v>16</v>
      </c>
      <c r="H35" s="8">
        <v>2.11</v>
      </c>
      <c r="I35" s="12">
        <v>0</v>
      </c>
    </row>
    <row r="36" spans="2:9" ht="15" customHeight="1" x14ac:dyDescent="0.2">
      <c r="B36" t="s">
        <v>99</v>
      </c>
      <c r="C36" s="12">
        <v>27</v>
      </c>
      <c r="D36" s="8">
        <v>2.2799999999999998</v>
      </c>
      <c r="E36" s="12">
        <v>12</v>
      </c>
      <c r="F36" s="8">
        <v>2.84</v>
      </c>
      <c r="G36" s="12">
        <v>15</v>
      </c>
      <c r="H36" s="8">
        <v>1.98</v>
      </c>
      <c r="I36" s="12">
        <v>0</v>
      </c>
    </row>
    <row r="37" spans="2:9" ht="15" customHeight="1" x14ac:dyDescent="0.2">
      <c r="B37" t="s">
        <v>89</v>
      </c>
      <c r="C37" s="12">
        <v>26</v>
      </c>
      <c r="D37" s="8">
        <v>2.2000000000000002</v>
      </c>
      <c r="E37" s="12">
        <v>7</v>
      </c>
      <c r="F37" s="8">
        <v>1.65</v>
      </c>
      <c r="G37" s="12">
        <v>19</v>
      </c>
      <c r="H37" s="8">
        <v>2.5</v>
      </c>
      <c r="I37" s="12">
        <v>0</v>
      </c>
    </row>
    <row r="38" spans="2:9" ht="15" customHeight="1" x14ac:dyDescent="0.2">
      <c r="B38" t="s">
        <v>96</v>
      </c>
      <c r="C38" s="12">
        <v>25</v>
      </c>
      <c r="D38" s="8">
        <v>2.11</v>
      </c>
      <c r="E38" s="12">
        <v>4</v>
      </c>
      <c r="F38" s="8">
        <v>0.95</v>
      </c>
      <c r="G38" s="12">
        <v>21</v>
      </c>
      <c r="H38" s="8">
        <v>2.77</v>
      </c>
      <c r="I38" s="12">
        <v>0</v>
      </c>
    </row>
    <row r="39" spans="2:9" ht="15" customHeight="1" x14ac:dyDescent="0.2">
      <c r="B39" t="s">
        <v>102</v>
      </c>
      <c r="C39" s="12">
        <v>24</v>
      </c>
      <c r="D39" s="8">
        <v>2.0299999999999998</v>
      </c>
      <c r="E39" s="12">
        <v>1</v>
      </c>
      <c r="F39" s="8">
        <v>0.24</v>
      </c>
      <c r="G39" s="12">
        <v>23</v>
      </c>
      <c r="H39" s="8">
        <v>3.03</v>
      </c>
      <c r="I39" s="12">
        <v>0</v>
      </c>
    </row>
    <row r="40" spans="2:9" ht="15" customHeight="1" x14ac:dyDescent="0.2">
      <c r="B40" t="s">
        <v>93</v>
      </c>
      <c r="C40" s="12">
        <v>21</v>
      </c>
      <c r="D40" s="8">
        <v>1.77</v>
      </c>
      <c r="E40" s="12">
        <v>1</v>
      </c>
      <c r="F40" s="8">
        <v>0.24</v>
      </c>
      <c r="G40" s="12">
        <v>20</v>
      </c>
      <c r="H40" s="8">
        <v>2.64</v>
      </c>
      <c r="I40" s="12">
        <v>0</v>
      </c>
    </row>
    <row r="41" spans="2:9" ht="15" customHeight="1" x14ac:dyDescent="0.2">
      <c r="B41" t="s">
        <v>103</v>
      </c>
      <c r="C41" s="12">
        <v>16</v>
      </c>
      <c r="D41" s="8">
        <v>1.35</v>
      </c>
      <c r="E41" s="12">
        <v>7</v>
      </c>
      <c r="F41" s="8">
        <v>1.65</v>
      </c>
      <c r="G41" s="12">
        <v>9</v>
      </c>
      <c r="H41" s="8">
        <v>1.19</v>
      </c>
      <c r="I41" s="12">
        <v>0</v>
      </c>
    </row>
    <row r="42" spans="2:9" ht="15" customHeight="1" x14ac:dyDescent="0.2">
      <c r="B42" t="s">
        <v>88</v>
      </c>
      <c r="C42" s="12">
        <v>15</v>
      </c>
      <c r="D42" s="8">
        <v>1.27</v>
      </c>
      <c r="E42" s="12">
        <v>0</v>
      </c>
      <c r="F42" s="8">
        <v>0</v>
      </c>
      <c r="G42" s="12">
        <v>15</v>
      </c>
      <c r="H42" s="8">
        <v>1.98</v>
      </c>
      <c r="I42" s="12">
        <v>0</v>
      </c>
    </row>
    <row r="43" spans="2:9" ht="15" customHeight="1" x14ac:dyDescent="0.2">
      <c r="B43" t="s">
        <v>104</v>
      </c>
      <c r="C43" s="12">
        <v>14</v>
      </c>
      <c r="D43" s="8">
        <v>1.18</v>
      </c>
      <c r="E43" s="12">
        <v>1</v>
      </c>
      <c r="F43" s="8">
        <v>0.24</v>
      </c>
      <c r="G43" s="12">
        <v>13</v>
      </c>
      <c r="H43" s="8">
        <v>1.71</v>
      </c>
      <c r="I43" s="12">
        <v>0</v>
      </c>
    </row>
    <row r="44" spans="2:9" ht="15" customHeight="1" x14ac:dyDescent="0.2">
      <c r="B44" t="s">
        <v>107</v>
      </c>
      <c r="C44" s="12">
        <v>14</v>
      </c>
      <c r="D44" s="8">
        <v>1.18</v>
      </c>
      <c r="E44" s="12">
        <v>1</v>
      </c>
      <c r="F44" s="8">
        <v>0.24</v>
      </c>
      <c r="G44" s="12">
        <v>13</v>
      </c>
      <c r="H44" s="8">
        <v>1.71</v>
      </c>
      <c r="I44" s="12">
        <v>0</v>
      </c>
    </row>
    <row r="45" spans="2:9" ht="15" customHeight="1" x14ac:dyDescent="0.2">
      <c r="B45" t="s">
        <v>105</v>
      </c>
      <c r="C45" s="12">
        <v>14</v>
      </c>
      <c r="D45" s="8">
        <v>1.18</v>
      </c>
      <c r="E45" s="12">
        <v>1</v>
      </c>
      <c r="F45" s="8">
        <v>0.24</v>
      </c>
      <c r="G45" s="12">
        <v>13</v>
      </c>
      <c r="H45" s="8">
        <v>1.71</v>
      </c>
      <c r="I45" s="12">
        <v>0</v>
      </c>
    </row>
    <row r="48" spans="2:9" ht="33" customHeight="1" x14ac:dyDescent="0.2">
      <c r="B48" t="s">
        <v>250</v>
      </c>
      <c r="C48" s="10" t="s">
        <v>77</v>
      </c>
      <c r="D48" s="10" t="s">
        <v>78</v>
      </c>
      <c r="E48" s="10" t="s">
        <v>79</v>
      </c>
      <c r="F48" s="10" t="s">
        <v>80</v>
      </c>
      <c r="G48" s="10" t="s">
        <v>81</v>
      </c>
      <c r="H48" s="10" t="s">
        <v>82</v>
      </c>
      <c r="I48" s="10" t="s">
        <v>83</v>
      </c>
    </row>
    <row r="49" spans="2:9" ht="15" customHeight="1" x14ac:dyDescent="0.2">
      <c r="B49" t="s">
        <v>164</v>
      </c>
      <c r="C49" s="12">
        <v>96</v>
      </c>
      <c r="D49" s="8">
        <v>8.11</v>
      </c>
      <c r="E49" s="12">
        <v>76</v>
      </c>
      <c r="F49" s="8">
        <v>17.97</v>
      </c>
      <c r="G49" s="12">
        <v>20</v>
      </c>
      <c r="H49" s="8">
        <v>2.64</v>
      </c>
      <c r="I49" s="12">
        <v>0</v>
      </c>
    </row>
    <row r="50" spans="2:9" ht="15" customHeight="1" x14ac:dyDescent="0.2">
      <c r="B50" t="s">
        <v>163</v>
      </c>
      <c r="C50" s="12">
        <v>54</v>
      </c>
      <c r="D50" s="8">
        <v>4.5599999999999996</v>
      </c>
      <c r="E50" s="12">
        <v>44</v>
      </c>
      <c r="F50" s="8">
        <v>10.4</v>
      </c>
      <c r="G50" s="12">
        <v>10</v>
      </c>
      <c r="H50" s="8">
        <v>1.32</v>
      </c>
      <c r="I50" s="12">
        <v>0</v>
      </c>
    </row>
    <row r="51" spans="2:9" ht="15" customHeight="1" x14ac:dyDescent="0.2">
      <c r="B51" t="s">
        <v>165</v>
      </c>
      <c r="C51" s="12">
        <v>48</v>
      </c>
      <c r="D51" s="8">
        <v>4.05</v>
      </c>
      <c r="E51" s="12">
        <v>30</v>
      </c>
      <c r="F51" s="8">
        <v>7.09</v>
      </c>
      <c r="G51" s="12">
        <v>18</v>
      </c>
      <c r="H51" s="8">
        <v>2.37</v>
      </c>
      <c r="I51" s="12">
        <v>0</v>
      </c>
    </row>
    <row r="52" spans="2:9" ht="15" customHeight="1" x14ac:dyDescent="0.2">
      <c r="B52" t="s">
        <v>166</v>
      </c>
      <c r="C52" s="12">
        <v>45</v>
      </c>
      <c r="D52" s="8">
        <v>3.8</v>
      </c>
      <c r="E52" s="12">
        <v>33</v>
      </c>
      <c r="F52" s="8">
        <v>7.8</v>
      </c>
      <c r="G52" s="12">
        <v>12</v>
      </c>
      <c r="H52" s="8">
        <v>1.58</v>
      </c>
      <c r="I52" s="12">
        <v>0</v>
      </c>
    </row>
    <row r="53" spans="2:9" ht="15" customHeight="1" x14ac:dyDescent="0.2">
      <c r="B53" t="s">
        <v>158</v>
      </c>
      <c r="C53" s="12">
        <v>34</v>
      </c>
      <c r="D53" s="8">
        <v>2.87</v>
      </c>
      <c r="E53" s="12">
        <v>4</v>
      </c>
      <c r="F53" s="8">
        <v>0.95</v>
      </c>
      <c r="G53" s="12">
        <v>30</v>
      </c>
      <c r="H53" s="8">
        <v>3.95</v>
      </c>
      <c r="I53" s="12">
        <v>0</v>
      </c>
    </row>
    <row r="54" spans="2:9" ht="15" customHeight="1" x14ac:dyDescent="0.2">
      <c r="B54" t="s">
        <v>180</v>
      </c>
      <c r="C54" s="12">
        <v>32</v>
      </c>
      <c r="D54" s="8">
        <v>2.7</v>
      </c>
      <c r="E54" s="12">
        <v>17</v>
      </c>
      <c r="F54" s="8">
        <v>4.0199999999999996</v>
      </c>
      <c r="G54" s="12">
        <v>15</v>
      </c>
      <c r="H54" s="8">
        <v>1.98</v>
      </c>
      <c r="I54" s="12">
        <v>0</v>
      </c>
    </row>
    <row r="55" spans="2:9" ht="15" customHeight="1" x14ac:dyDescent="0.2">
      <c r="B55" t="s">
        <v>152</v>
      </c>
      <c r="C55" s="12">
        <v>24</v>
      </c>
      <c r="D55" s="8">
        <v>2.0299999999999998</v>
      </c>
      <c r="E55" s="12">
        <v>4</v>
      </c>
      <c r="F55" s="8">
        <v>0.95</v>
      </c>
      <c r="G55" s="12">
        <v>20</v>
      </c>
      <c r="H55" s="8">
        <v>2.64</v>
      </c>
      <c r="I55" s="12">
        <v>0</v>
      </c>
    </row>
    <row r="56" spans="2:9" ht="15" customHeight="1" x14ac:dyDescent="0.2">
      <c r="B56" t="s">
        <v>148</v>
      </c>
      <c r="C56" s="12">
        <v>23</v>
      </c>
      <c r="D56" s="8">
        <v>1.94</v>
      </c>
      <c r="E56" s="12">
        <v>0</v>
      </c>
      <c r="F56" s="8">
        <v>0</v>
      </c>
      <c r="G56" s="12">
        <v>23</v>
      </c>
      <c r="H56" s="8">
        <v>3.03</v>
      </c>
      <c r="I56" s="12">
        <v>0</v>
      </c>
    </row>
    <row r="57" spans="2:9" ht="15" customHeight="1" x14ac:dyDescent="0.2">
      <c r="B57" t="s">
        <v>150</v>
      </c>
      <c r="C57" s="12">
        <v>22</v>
      </c>
      <c r="D57" s="8">
        <v>1.86</v>
      </c>
      <c r="E57" s="12">
        <v>3</v>
      </c>
      <c r="F57" s="8">
        <v>0.71</v>
      </c>
      <c r="G57" s="12">
        <v>19</v>
      </c>
      <c r="H57" s="8">
        <v>2.5</v>
      </c>
      <c r="I57" s="12">
        <v>0</v>
      </c>
    </row>
    <row r="58" spans="2:9" ht="15" customHeight="1" x14ac:dyDescent="0.2">
      <c r="B58" t="s">
        <v>154</v>
      </c>
      <c r="C58" s="12">
        <v>21</v>
      </c>
      <c r="D58" s="8">
        <v>1.77</v>
      </c>
      <c r="E58" s="12">
        <v>9</v>
      </c>
      <c r="F58" s="8">
        <v>2.13</v>
      </c>
      <c r="G58" s="12">
        <v>12</v>
      </c>
      <c r="H58" s="8">
        <v>1.58</v>
      </c>
      <c r="I58" s="12">
        <v>0</v>
      </c>
    </row>
    <row r="59" spans="2:9" ht="15" customHeight="1" x14ac:dyDescent="0.2">
      <c r="B59" t="s">
        <v>161</v>
      </c>
      <c r="C59" s="12">
        <v>21</v>
      </c>
      <c r="D59" s="8">
        <v>1.77</v>
      </c>
      <c r="E59" s="12">
        <v>16</v>
      </c>
      <c r="F59" s="8">
        <v>3.78</v>
      </c>
      <c r="G59" s="12">
        <v>5</v>
      </c>
      <c r="H59" s="8">
        <v>0.66</v>
      </c>
      <c r="I59" s="12">
        <v>0</v>
      </c>
    </row>
    <row r="60" spans="2:9" ht="15" customHeight="1" x14ac:dyDescent="0.2">
      <c r="B60" t="s">
        <v>151</v>
      </c>
      <c r="C60" s="12">
        <v>20</v>
      </c>
      <c r="D60" s="8">
        <v>1.69</v>
      </c>
      <c r="E60" s="12">
        <v>0</v>
      </c>
      <c r="F60" s="8">
        <v>0</v>
      </c>
      <c r="G60" s="12">
        <v>20</v>
      </c>
      <c r="H60" s="8">
        <v>2.64</v>
      </c>
      <c r="I60" s="12">
        <v>0</v>
      </c>
    </row>
    <row r="61" spans="2:9" ht="15" customHeight="1" x14ac:dyDescent="0.2">
      <c r="B61" t="s">
        <v>170</v>
      </c>
      <c r="C61" s="12">
        <v>20</v>
      </c>
      <c r="D61" s="8">
        <v>1.69</v>
      </c>
      <c r="E61" s="12">
        <v>18</v>
      </c>
      <c r="F61" s="8">
        <v>4.26</v>
      </c>
      <c r="G61" s="12">
        <v>2</v>
      </c>
      <c r="H61" s="8">
        <v>0.26</v>
      </c>
      <c r="I61" s="12">
        <v>0</v>
      </c>
    </row>
    <row r="62" spans="2:9" ht="15" customHeight="1" x14ac:dyDescent="0.2">
      <c r="B62" t="s">
        <v>168</v>
      </c>
      <c r="C62" s="12">
        <v>19</v>
      </c>
      <c r="D62" s="8">
        <v>1.6</v>
      </c>
      <c r="E62" s="12">
        <v>5</v>
      </c>
      <c r="F62" s="8">
        <v>1.18</v>
      </c>
      <c r="G62" s="12">
        <v>14</v>
      </c>
      <c r="H62" s="8">
        <v>1.84</v>
      </c>
      <c r="I62" s="12">
        <v>0</v>
      </c>
    </row>
    <row r="63" spans="2:9" ht="15" customHeight="1" x14ac:dyDescent="0.2">
      <c r="B63" t="s">
        <v>157</v>
      </c>
      <c r="C63" s="12">
        <v>19</v>
      </c>
      <c r="D63" s="8">
        <v>1.6</v>
      </c>
      <c r="E63" s="12">
        <v>1</v>
      </c>
      <c r="F63" s="8">
        <v>0.24</v>
      </c>
      <c r="G63" s="12">
        <v>18</v>
      </c>
      <c r="H63" s="8">
        <v>2.37</v>
      </c>
      <c r="I63" s="12">
        <v>0</v>
      </c>
    </row>
    <row r="64" spans="2:9" ht="15" customHeight="1" x14ac:dyDescent="0.2">
      <c r="B64" t="s">
        <v>153</v>
      </c>
      <c r="C64" s="12">
        <v>18</v>
      </c>
      <c r="D64" s="8">
        <v>1.52</v>
      </c>
      <c r="E64" s="12">
        <v>0</v>
      </c>
      <c r="F64" s="8">
        <v>0</v>
      </c>
      <c r="G64" s="12">
        <v>18</v>
      </c>
      <c r="H64" s="8">
        <v>2.37</v>
      </c>
      <c r="I64" s="12">
        <v>0</v>
      </c>
    </row>
    <row r="65" spans="2:9" ht="15" customHeight="1" x14ac:dyDescent="0.2">
      <c r="B65" t="s">
        <v>159</v>
      </c>
      <c r="C65" s="12">
        <v>18</v>
      </c>
      <c r="D65" s="8">
        <v>1.52</v>
      </c>
      <c r="E65" s="12">
        <v>0</v>
      </c>
      <c r="F65" s="8">
        <v>0</v>
      </c>
      <c r="G65" s="12">
        <v>18</v>
      </c>
      <c r="H65" s="8">
        <v>2.37</v>
      </c>
      <c r="I65" s="12">
        <v>0</v>
      </c>
    </row>
    <row r="66" spans="2:9" ht="15" customHeight="1" x14ac:dyDescent="0.2">
      <c r="B66" t="s">
        <v>177</v>
      </c>
      <c r="C66" s="12">
        <v>16</v>
      </c>
      <c r="D66" s="8">
        <v>1.35</v>
      </c>
      <c r="E66" s="12">
        <v>3</v>
      </c>
      <c r="F66" s="8">
        <v>0.71</v>
      </c>
      <c r="G66" s="12">
        <v>13</v>
      </c>
      <c r="H66" s="8">
        <v>1.71</v>
      </c>
      <c r="I66" s="12">
        <v>0</v>
      </c>
    </row>
    <row r="67" spans="2:9" ht="15" customHeight="1" x14ac:dyDescent="0.2">
      <c r="B67" t="s">
        <v>167</v>
      </c>
      <c r="C67" s="12">
        <v>16</v>
      </c>
      <c r="D67" s="8">
        <v>1.35</v>
      </c>
      <c r="E67" s="12">
        <v>7</v>
      </c>
      <c r="F67" s="8">
        <v>1.65</v>
      </c>
      <c r="G67" s="12">
        <v>9</v>
      </c>
      <c r="H67" s="8">
        <v>1.19</v>
      </c>
      <c r="I67" s="12">
        <v>0</v>
      </c>
    </row>
    <row r="68" spans="2:9" ht="15" customHeight="1" x14ac:dyDescent="0.2">
      <c r="B68" t="s">
        <v>178</v>
      </c>
      <c r="C68" s="12">
        <v>15</v>
      </c>
      <c r="D68" s="8">
        <v>1.27</v>
      </c>
      <c r="E68" s="12">
        <v>1</v>
      </c>
      <c r="F68" s="8">
        <v>0.24</v>
      </c>
      <c r="G68" s="12">
        <v>14</v>
      </c>
      <c r="H68" s="8">
        <v>1.84</v>
      </c>
      <c r="I68" s="12">
        <v>0</v>
      </c>
    </row>
    <row r="69" spans="2:9" ht="15" customHeight="1" x14ac:dyDescent="0.2">
      <c r="B69" t="s">
        <v>173</v>
      </c>
      <c r="C69" s="12">
        <v>15</v>
      </c>
      <c r="D69" s="8">
        <v>1.27</v>
      </c>
      <c r="E69" s="12">
        <v>6</v>
      </c>
      <c r="F69" s="8">
        <v>1.42</v>
      </c>
      <c r="G69" s="12">
        <v>9</v>
      </c>
      <c r="H69" s="8">
        <v>1.19</v>
      </c>
      <c r="I69" s="12">
        <v>0</v>
      </c>
    </row>
    <row r="70" spans="2:9" ht="15" customHeight="1" x14ac:dyDescent="0.2">
      <c r="B70" t="s">
        <v>179</v>
      </c>
      <c r="C70" s="12">
        <v>15</v>
      </c>
      <c r="D70" s="8">
        <v>1.27</v>
      </c>
      <c r="E70" s="12">
        <v>7</v>
      </c>
      <c r="F70" s="8">
        <v>1.65</v>
      </c>
      <c r="G70" s="12">
        <v>8</v>
      </c>
      <c r="H70" s="8">
        <v>1.05</v>
      </c>
      <c r="I70" s="12">
        <v>0</v>
      </c>
    </row>
    <row r="71" spans="2:9" ht="15" customHeight="1" x14ac:dyDescent="0.2">
      <c r="B71" t="s">
        <v>181</v>
      </c>
      <c r="C71" s="12">
        <v>15</v>
      </c>
      <c r="D71" s="8">
        <v>1.27</v>
      </c>
      <c r="E71" s="12">
        <v>0</v>
      </c>
      <c r="F71" s="8">
        <v>0</v>
      </c>
      <c r="G71" s="12">
        <v>15</v>
      </c>
      <c r="H71" s="8">
        <v>1.98</v>
      </c>
      <c r="I71" s="12">
        <v>0</v>
      </c>
    </row>
    <row r="73" spans="2:9" ht="15" customHeight="1" x14ac:dyDescent="0.2">
      <c r="B73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32214-F6AD-41DC-81ED-0152EB5F2BE6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258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92</v>
      </c>
      <c r="D6" s="8">
        <v>8.1999999999999993</v>
      </c>
      <c r="E6" s="12">
        <v>5</v>
      </c>
      <c r="F6" s="8">
        <v>2.76</v>
      </c>
      <c r="G6" s="12">
        <v>87</v>
      </c>
      <c r="H6" s="8">
        <v>9.2799999999999994</v>
      </c>
      <c r="I6" s="12">
        <v>0</v>
      </c>
    </row>
    <row r="7" spans="2:9" ht="15" customHeight="1" x14ac:dyDescent="0.2">
      <c r="B7" t="s">
        <v>63</v>
      </c>
      <c r="C7" s="12">
        <v>42</v>
      </c>
      <c r="D7" s="8">
        <v>3.74</v>
      </c>
      <c r="E7" s="12">
        <v>0</v>
      </c>
      <c r="F7" s="8">
        <v>0</v>
      </c>
      <c r="G7" s="12">
        <v>42</v>
      </c>
      <c r="H7" s="8">
        <v>4.4800000000000004</v>
      </c>
      <c r="I7" s="12">
        <v>0</v>
      </c>
    </row>
    <row r="8" spans="2:9" ht="15" customHeight="1" x14ac:dyDescent="0.2">
      <c r="B8" t="s">
        <v>64</v>
      </c>
      <c r="C8" s="12">
        <v>2</v>
      </c>
      <c r="D8" s="8">
        <v>0.18</v>
      </c>
      <c r="E8" s="12">
        <v>0</v>
      </c>
      <c r="F8" s="8">
        <v>0</v>
      </c>
      <c r="G8" s="12">
        <v>2</v>
      </c>
      <c r="H8" s="8">
        <v>0.21</v>
      </c>
      <c r="I8" s="12">
        <v>0</v>
      </c>
    </row>
    <row r="9" spans="2:9" ht="15" customHeight="1" x14ac:dyDescent="0.2">
      <c r="B9" t="s">
        <v>65</v>
      </c>
      <c r="C9" s="12">
        <v>41</v>
      </c>
      <c r="D9" s="8">
        <v>3.65</v>
      </c>
      <c r="E9" s="12">
        <v>1</v>
      </c>
      <c r="F9" s="8">
        <v>0.55000000000000004</v>
      </c>
      <c r="G9" s="12">
        <v>40</v>
      </c>
      <c r="H9" s="8">
        <v>4.26</v>
      </c>
      <c r="I9" s="12">
        <v>0</v>
      </c>
    </row>
    <row r="10" spans="2:9" ht="15" customHeight="1" x14ac:dyDescent="0.2">
      <c r="B10" t="s">
        <v>66</v>
      </c>
      <c r="C10" s="12">
        <v>26</v>
      </c>
      <c r="D10" s="8">
        <v>2.3199999999999998</v>
      </c>
      <c r="E10" s="12">
        <v>1</v>
      </c>
      <c r="F10" s="8">
        <v>0.55000000000000004</v>
      </c>
      <c r="G10" s="12">
        <v>25</v>
      </c>
      <c r="H10" s="8">
        <v>2.67</v>
      </c>
      <c r="I10" s="12">
        <v>0</v>
      </c>
    </row>
    <row r="11" spans="2:9" ht="15" customHeight="1" x14ac:dyDescent="0.2">
      <c r="B11" t="s">
        <v>67</v>
      </c>
      <c r="C11" s="12">
        <v>336</v>
      </c>
      <c r="D11" s="8">
        <v>29.95</v>
      </c>
      <c r="E11" s="12">
        <v>30</v>
      </c>
      <c r="F11" s="8">
        <v>16.57</v>
      </c>
      <c r="G11" s="12">
        <v>306</v>
      </c>
      <c r="H11" s="8">
        <v>32.619999999999997</v>
      </c>
      <c r="I11" s="12">
        <v>0</v>
      </c>
    </row>
    <row r="12" spans="2:9" ht="15" customHeight="1" x14ac:dyDescent="0.2">
      <c r="B12" t="s">
        <v>68</v>
      </c>
      <c r="C12" s="12">
        <v>13</v>
      </c>
      <c r="D12" s="8">
        <v>1.1599999999999999</v>
      </c>
      <c r="E12" s="12">
        <v>0</v>
      </c>
      <c r="F12" s="8">
        <v>0</v>
      </c>
      <c r="G12" s="12">
        <v>13</v>
      </c>
      <c r="H12" s="8">
        <v>1.39</v>
      </c>
      <c r="I12" s="12">
        <v>0</v>
      </c>
    </row>
    <row r="13" spans="2:9" ht="15" customHeight="1" x14ac:dyDescent="0.2">
      <c r="B13" t="s">
        <v>69</v>
      </c>
      <c r="C13" s="12">
        <v>87</v>
      </c>
      <c r="D13" s="8">
        <v>7.75</v>
      </c>
      <c r="E13" s="12">
        <v>0</v>
      </c>
      <c r="F13" s="8">
        <v>0</v>
      </c>
      <c r="G13" s="12">
        <v>86</v>
      </c>
      <c r="H13" s="8">
        <v>9.17</v>
      </c>
      <c r="I13" s="12">
        <v>1</v>
      </c>
    </row>
    <row r="14" spans="2:9" ht="15" customHeight="1" x14ac:dyDescent="0.2">
      <c r="B14" t="s">
        <v>70</v>
      </c>
      <c r="C14" s="12">
        <v>103</v>
      </c>
      <c r="D14" s="8">
        <v>9.18</v>
      </c>
      <c r="E14" s="12">
        <v>18</v>
      </c>
      <c r="F14" s="8">
        <v>9.94</v>
      </c>
      <c r="G14" s="12">
        <v>84</v>
      </c>
      <c r="H14" s="8">
        <v>8.9600000000000009</v>
      </c>
      <c r="I14" s="12">
        <v>1</v>
      </c>
    </row>
    <row r="15" spans="2:9" ht="15" customHeight="1" x14ac:dyDescent="0.2">
      <c r="B15" t="s">
        <v>71</v>
      </c>
      <c r="C15" s="12">
        <v>72</v>
      </c>
      <c r="D15" s="8">
        <v>6.42</v>
      </c>
      <c r="E15" s="12">
        <v>15</v>
      </c>
      <c r="F15" s="8">
        <v>8.2899999999999991</v>
      </c>
      <c r="G15" s="12">
        <v>57</v>
      </c>
      <c r="H15" s="8">
        <v>6.08</v>
      </c>
      <c r="I15" s="12">
        <v>0</v>
      </c>
    </row>
    <row r="16" spans="2:9" ht="15" customHeight="1" x14ac:dyDescent="0.2">
      <c r="B16" t="s">
        <v>72</v>
      </c>
      <c r="C16" s="12">
        <v>134</v>
      </c>
      <c r="D16" s="8">
        <v>11.94</v>
      </c>
      <c r="E16" s="12">
        <v>63</v>
      </c>
      <c r="F16" s="8">
        <v>34.81</v>
      </c>
      <c r="G16" s="12">
        <v>71</v>
      </c>
      <c r="H16" s="8">
        <v>7.57</v>
      </c>
      <c r="I16" s="12">
        <v>0</v>
      </c>
    </row>
    <row r="17" spans="2:9" ht="15" customHeight="1" x14ac:dyDescent="0.2">
      <c r="B17" t="s">
        <v>73</v>
      </c>
      <c r="C17" s="12">
        <v>55</v>
      </c>
      <c r="D17" s="8">
        <v>4.9000000000000004</v>
      </c>
      <c r="E17" s="12">
        <v>15</v>
      </c>
      <c r="F17" s="8">
        <v>8.2899999999999991</v>
      </c>
      <c r="G17" s="12">
        <v>39</v>
      </c>
      <c r="H17" s="8">
        <v>4.16</v>
      </c>
      <c r="I17" s="12">
        <v>1</v>
      </c>
    </row>
    <row r="18" spans="2:9" ht="15" customHeight="1" x14ac:dyDescent="0.2">
      <c r="B18" t="s">
        <v>74</v>
      </c>
      <c r="C18" s="12">
        <v>58</v>
      </c>
      <c r="D18" s="8">
        <v>5.17</v>
      </c>
      <c r="E18" s="12">
        <v>31</v>
      </c>
      <c r="F18" s="8">
        <v>17.13</v>
      </c>
      <c r="G18" s="12">
        <v>27</v>
      </c>
      <c r="H18" s="8">
        <v>2.88</v>
      </c>
      <c r="I18" s="12">
        <v>0</v>
      </c>
    </row>
    <row r="19" spans="2:9" ht="15" customHeight="1" x14ac:dyDescent="0.2">
      <c r="B19" t="s">
        <v>75</v>
      </c>
      <c r="C19" s="12">
        <v>61</v>
      </c>
      <c r="D19" s="8">
        <v>5.44</v>
      </c>
      <c r="E19" s="12">
        <v>2</v>
      </c>
      <c r="F19" s="8">
        <v>1.1000000000000001</v>
      </c>
      <c r="G19" s="12">
        <v>59</v>
      </c>
      <c r="H19" s="8">
        <v>6.29</v>
      </c>
      <c r="I19" s="12">
        <v>0</v>
      </c>
    </row>
    <row r="20" spans="2:9" ht="15" customHeight="1" x14ac:dyDescent="0.2">
      <c r="B20" s="9" t="s">
        <v>248</v>
      </c>
      <c r="C20" s="12">
        <f>SUM(LTBL_12106[総数／事業所数])</f>
        <v>1122</v>
      </c>
      <c r="E20" s="12">
        <f>SUBTOTAL(109,LTBL_12106[個人／事業所数])</f>
        <v>181</v>
      </c>
      <c r="G20" s="12">
        <f>SUBTOTAL(109,LTBL_12106[法人／事業所数])</f>
        <v>938</v>
      </c>
      <c r="I20" s="12">
        <f>SUBTOTAL(109,LTBL_12106[法人以外の団体／事業所数])</f>
        <v>3</v>
      </c>
    </row>
    <row r="21" spans="2:9" ht="15" customHeight="1" x14ac:dyDescent="0.2">
      <c r="E21" s="11">
        <f>LTBL_12106[[#Totals],[個人／事業所数]]/LTBL_12106[[#Totals],[総数／事業所数]]</f>
        <v>0.16131907308377896</v>
      </c>
      <c r="G21" s="11">
        <f>LTBL_12106[[#Totals],[法人／事業所数]]/LTBL_12106[[#Totals],[総数／事業所数]]</f>
        <v>0.83600713012477723</v>
      </c>
      <c r="I21" s="11">
        <f>LTBL_12106[[#Totals],[法人以外の団体／事業所数]]/LTBL_12106[[#Totals],[総数／事業所数]]</f>
        <v>2.6737967914438501E-3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107</v>
      </c>
      <c r="D24" s="8">
        <v>9.5399999999999991</v>
      </c>
      <c r="E24" s="12">
        <v>57</v>
      </c>
      <c r="F24" s="8">
        <v>31.49</v>
      </c>
      <c r="G24" s="12">
        <v>50</v>
      </c>
      <c r="H24" s="8">
        <v>5.33</v>
      </c>
      <c r="I24" s="12">
        <v>0</v>
      </c>
    </row>
    <row r="25" spans="2:9" ht="15" customHeight="1" x14ac:dyDescent="0.2">
      <c r="B25" t="s">
        <v>89</v>
      </c>
      <c r="C25" s="12">
        <v>79</v>
      </c>
      <c r="D25" s="8">
        <v>7.04</v>
      </c>
      <c r="E25" s="12">
        <v>4</v>
      </c>
      <c r="F25" s="8">
        <v>2.21</v>
      </c>
      <c r="G25" s="12">
        <v>75</v>
      </c>
      <c r="H25" s="8">
        <v>8</v>
      </c>
      <c r="I25" s="12">
        <v>0</v>
      </c>
    </row>
    <row r="26" spans="2:9" ht="15" customHeight="1" x14ac:dyDescent="0.2">
      <c r="B26" t="s">
        <v>92</v>
      </c>
      <c r="C26" s="12">
        <v>73</v>
      </c>
      <c r="D26" s="8">
        <v>6.51</v>
      </c>
      <c r="E26" s="12">
        <v>16</v>
      </c>
      <c r="F26" s="8">
        <v>8.84</v>
      </c>
      <c r="G26" s="12">
        <v>57</v>
      </c>
      <c r="H26" s="8">
        <v>6.08</v>
      </c>
      <c r="I26" s="12">
        <v>0</v>
      </c>
    </row>
    <row r="27" spans="2:9" ht="15" customHeight="1" x14ac:dyDescent="0.2">
      <c r="B27" t="s">
        <v>94</v>
      </c>
      <c r="C27" s="12">
        <v>67</v>
      </c>
      <c r="D27" s="8">
        <v>5.97</v>
      </c>
      <c r="E27" s="12">
        <v>0</v>
      </c>
      <c r="F27" s="8">
        <v>0</v>
      </c>
      <c r="G27" s="12">
        <v>66</v>
      </c>
      <c r="H27" s="8">
        <v>7.04</v>
      </c>
      <c r="I27" s="12">
        <v>1</v>
      </c>
    </row>
    <row r="28" spans="2:9" ht="15" customHeight="1" x14ac:dyDescent="0.2">
      <c r="B28" t="s">
        <v>95</v>
      </c>
      <c r="C28" s="12">
        <v>59</v>
      </c>
      <c r="D28" s="8">
        <v>5.26</v>
      </c>
      <c r="E28" s="12">
        <v>16</v>
      </c>
      <c r="F28" s="8">
        <v>8.84</v>
      </c>
      <c r="G28" s="12">
        <v>42</v>
      </c>
      <c r="H28" s="8">
        <v>4.4800000000000004</v>
      </c>
      <c r="I28" s="12">
        <v>1</v>
      </c>
    </row>
    <row r="29" spans="2:9" ht="15" customHeight="1" x14ac:dyDescent="0.2">
      <c r="B29" t="s">
        <v>100</v>
      </c>
      <c r="C29" s="12">
        <v>55</v>
      </c>
      <c r="D29" s="8">
        <v>4.9000000000000004</v>
      </c>
      <c r="E29" s="12">
        <v>15</v>
      </c>
      <c r="F29" s="8">
        <v>8.2899999999999991</v>
      </c>
      <c r="G29" s="12">
        <v>39</v>
      </c>
      <c r="H29" s="8">
        <v>4.16</v>
      </c>
      <c r="I29" s="12">
        <v>1</v>
      </c>
    </row>
    <row r="30" spans="2:9" ht="15" customHeight="1" x14ac:dyDescent="0.2">
      <c r="B30" t="s">
        <v>97</v>
      </c>
      <c r="C30" s="12">
        <v>51</v>
      </c>
      <c r="D30" s="8">
        <v>4.55</v>
      </c>
      <c r="E30" s="12">
        <v>14</v>
      </c>
      <c r="F30" s="8">
        <v>7.73</v>
      </c>
      <c r="G30" s="12">
        <v>37</v>
      </c>
      <c r="H30" s="8">
        <v>3.94</v>
      </c>
      <c r="I30" s="12">
        <v>0</v>
      </c>
    </row>
    <row r="31" spans="2:9" ht="15" customHeight="1" x14ac:dyDescent="0.2">
      <c r="B31" t="s">
        <v>90</v>
      </c>
      <c r="C31" s="12">
        <v>44</v>
      </c>
      <c r="D31" s="8">
        <v>3.92</v>
      </c>
      <c r="E31" s="12">
        <v>8</v>
      </c>
      <c r="F31" s="8">
        <v>4.42</v>
      </c>
      <c r="G31" s="12">
        <v>36</v>
      </c>
      <c r="H31" s="8">
        <v>3.84</v>
      </c>
      <c r="I31" s="12">
        <v>0</v>
      </c>
    </row>
    <row r="32" spans="2:9" ht="15" customHeight="1" x14ac:dyDescent="0.2">
      <c r="B32" t="s">
        <v>101</v>
      </c>
      <c r="C32" s="12">
        <v>43</v>
      </c>
      <c r="D32" s="8">
        <v>3.83</v>
      </c>
      <c r="E32" s="12">
        <v>31</v>
      </c>
      <c r="F32" s="8">
        <v>17.13</v>
      </c>
      <c r="G32" s="12">
        <v>12</v>
      </c>
      <c r="H32" s="8">
        <v>1.28</v>
      </c>
      <c r="I32" s="12">
        <v>0</v>
      </c>
    </row>
    <row r="33" spans="2:9" ht="15" customHeight="1" x14ac:dyDescent="0.2">
      <c r="B33" t="s">
        <v>96</v>
      </c>
      <c r="C33" s="12">
        <v>41</v>
      </c>
      <c r="D33" s="8">
        <v>3.65</v>
      </c>
      <c r="E33" s="12">
        <v>2</v>
      </c>
      <c r="F33" s="8">
        <v>1.1000000000000001</v>
      </c>
      <c r="G33" s="12">
        <v>39</v>
      </c>
      <c r="H33" s="8">
        <v>4.16</v>
      </c>
      <c r="I33" s="12">
        <v>0</v>
      </c>
    </row>
    <row r="34" spans="2:9" ht="15" customHeight="1" x14ac:dyDescent="0.2">
      <c r="B34" t="s">
        <v>109</v>
      </c>
      <c r="C34" s="12">
        <v>36</v>
      </c>
      <c r="D34" s="8">
        <v>3.21</v>
      </c>
      <c r="E34" s="12">
        <v>0</v>
      </c>
      <c r="F34" s="8">
        <v>0</v>
      </c>
      <c r="G34" s="12">
        <v>36</v>
      </c>
      <c r="H34" s="8">
        <v>3.84</v>
      </c>
      <c r="I34" s="12">
        <v>0</v>
      </c>
    </row>
    <row r="35" spans="2:9" ht="15" customHeight="1" x14ac:dyDescent="0.2">
      <c r="B35" t="s">
        <v>84</v>
      </c>
      <c r="C35" s="12">
        <v>35</v>
      </c>
      <c r="D35" s="8">
        <v>3.12</v>
      </c>
      <c r="E35" s="12">
        <v>3</v>
      </c>
      <c r="F35" s="8">
        <v>1.66</v>
      </c>
      <c r="G35" s="12">
        <v>32</v>
      </c>
      <c r="H35" s="8">
        <v>3.41</v>
      </c>
      <c r="I35" s="12">
        <v>0</v>
      </c>
    </row>
    <row r="36" spans="2:9" ht="15" customHeight="1" x14ac:dyDescent="0.2">
      <c r="B36" t="s">
        <v>105</v>
      </c>
      <c r="C36" s="12">
        <v>33</v>
      </c>
      <c r="D36" s="8">
        <v>2.94</v>
      </c>
      <c r="E36" s="12">
        <v>0</v>
      </c>
      <c r="F36" s="8">
        <v>0</v>
      </c>
      <c r="G36" s="12">
        <v>33</v>
      </c>
      <c r="H36" s="8">
        <v>3.52</v>
      </c>
      <c r="I36" s="12">
        <v>0</v>
      </c>
    </row>
    <row r="37" spans="2:9" ht="15" customHeight="1" x14ac:dyDescent="0.2">
      <c r="B37" t="s">
        <v>86</v>
      </c>
      <c r="C37" s="12">
        <v>32</v>
      </c>
      <c r="D37" s="8">
        <v>2.85</v>
      </c>
      <c r="E37" s="12">
        <v>1</v>
      </c>
      <c r="F37" s="8">
        <v>0.55000000000000004</v>
      </c>
      <c r="G37" s="12">
        <v>31</v>
      </c>
      <c r="H37" s="8">
        <v>3.3</v>
      </c>
      <c r="I37" s="12">
        <v>0</v>
      </c>
    </row>
    <row r="38" spans="2:9" ht="15" customHeight="1" x14ac:dyDescent="0.2">
      <c r="B38" t="s">
        <v>88</v>
      </c>
      <c r="C38" s="12">
        <v>29</v>
      </c>
      <c r="D38" s="8">
        <v>2.58</v>
      </c>
      <c r="E38" s="12">
        <v>0</v>
      </c>
      <c r="F38" s="8">
        <v>0</v>
      </c>
      <c r="G38" s="12">
        <v>29</v>
      </c>
      <c r="H38" s="8">
        <v>3.09</v>
      </c>
      <c r="I38" s="12">
        <v>0</v>
      </c>
    </row>
    <row r="39" spans="2:9" ht="15" customHeight="1" x14ac:dyDescent="0.2">
      <c r="B39" t="s">
        <v>108</v>
      </c>
      <c r="C39" s="12">
        <v>28</v>
      </c>
      <c r="D39" s="8">
        <v>2.5</v>
      </c>
      <c r="E39" s="12">
        <v>1</v>
      </c>
      <c r="F39" s="8">
        <v>0.55000000000000004</v>
      </c>
      <c r="G39" s="12">
        <v>27</v>
      </c>
      <c r="H39" s="8">
        <v>2.88</v>
      </c>
      <c r="I39" s="12">
        <v>0</v>
      </c>
    </row>
    <row r="40" spans="2:9" ht="15" customHeight="1" x14ac:dyDescent="0.2">
      <c r="B40" t="s">
        <v>85</v>
      </c>
      <c r="C40" s="12">
        <v>25</v>
      </c>
      <c r="D40" s="8">
        <v>2.23</v>
      </c>
      <c r="E40" s="12">
        <v>1</v>
      </c>
      <c r="F40" s="8">
        <v>0.55000000000000004</v>
      </c>
      <c r="G40" s="12">
        <v>24</v>
      </c>
      <c r="H40" s="8">
        <v>2.56</v>
      </c>
      <c r="I40" s="12">
        <v>0</v>
      </c>
    </row>
    <row r="41" spans="2:9" ht="15" customHeight="1" x14ac:dyDescent="0.2">
      <c r="B41" t="s">
        <v>104</v>
      </c>
      <c r="C41" s="12">
        <v>23</v>
      </c>
      <c r="D41" s="8">
        <v>2.0499999999999998</v>
      </c>
      <c r="E41" s="12">
        <v>1</v>
      </c>
      <c r="F41" s="8">
        <v>0.55000000000000004</v>
      </c>
      <c r="G41" s="12">
        <v>22</v>
      </c>
      <c r="H41" s="8">
        <v>2.35</v>
      </c>
      <c r="I41" s="12">
        <v>0</v>
      </c>
    </row>
    <row r="42" spans="2:9" ht="15" customHeight="1" x14ac:dyDescent="0.2">
      <c r="B42" t="s">
        <v>87</v>
      </c>
      <c r="C42" s="12">
        <v>21</v>
      </c>
      <c r="D42" s="8">
        <v>1.87</v>
      </c>
      <c r="E42" s="12">
        <v>0</v>
      </c>
      <c r="F42" s="8">
        <v>0</v>
      </c>
      <c r="G42" s="12">
        <v>21</v>
      </c>
      <c r="H42" s="8">
        <v>2.2400000000000002</v>
      </c>
      <c r="I42" s="12">
        <v>0</v>
      </c>
    </row>
    <row r="43" spans="2:9" ht="15" customHeight="1" x14ac:dyDescent="0.2">
      <c r="B43" t="s">
        <v>107</v>
      </c>
      <c r="C43" s="12">
        <v>17</v>
      </c>
      <c r="D43" s="8">
        <v>1.52</v>
      </c>
      <c r="E43" s="12">
        <v>1</v>
      </c>
      <c r="F43" s="8">
        <v>0.55000000000000004</v>
      </c>
      <c r="G43" s="12">
        <v>16</v>
      </c>
      <c r="H43" s="8">
        <v>1.71</v>
      </c>
      <c r="I43" s="12">
        <v>0</v>
      </c>
    </row>
    <row r="44" spans="2:9" ht="15" customHeight="1" x14ac:dyDescent="0.2">
      <c r="B44" t="s">
        <v>99</v>
      </c>
      <c r="C44" s="12">
        <v>17</v>
      </c>
      <c r="D44" s="8">
        <v>1.52</v>
      </c>
      <c r="E44" s="12">
        <v>5</v>
      </c>
      <c r="F44" s="8">
        <v>2.76</v>
      </c>
      <c r="G44" s="12">
        <v>12</v>
      </c>
      <c r="H44" s="8">
        <v>1.28</v>
      </c>
      <c r="I44" s="12">
        <v>0</v>
      </c>
    </row>
    <row r="47" spans="2:9" ht="33" customHeight="1" x14ac:dyDescent="0.2">
      <c r="B47" t="s">
        <v>250</v>
      </c>
      <c r="C47" s="10" t="s">
        <v>77</v>
      </c>
      <c r="D47" s="10" t="s">
        <v>78</v>
      </c>
      <c r="E47" s="10" t="s">
        <v>79</v>
      </c>
      <c r="F47" s="10" t="s">
        <v>80</v>
      </c>
      <c r="G47" s="10" t="s">
        <v>81</v>
      </c>
      <c r="H47" s="10" t="s">
        <v>82</v>
      </c>
      <c r="I47" s="10" t="s">
        <v>83</v>
      </c>
    </row>
    <row r="48" spans="2:9" ht="15" customHeight="1" x14ac:dyDescent="0.2">
      <c r="B48" t="s">
        <v>177</v>
      </c>
      <c r="C48" s="12">
        <v>40</v>
      </c>
      <c r="D48" s="8">
        <v>3.57</v>
      </c>
      <c r="E48" s="12">
        <v>3</v>
      </c>
      <c r="F48" s="8">
        <v>1.66</v>
      </c>
      <c r="G48" s="12">
        <v>37</v>
      </c>
      <c r="H48" s="8">
        <v>3.94</v>
      </c>
      <c r="I48" s="12">
        <v>0</v>
      </c>
    </row>
    <row r="49" spans="2:9" ht="15" customHeight="1" x14ac:dyDescent="0.2">
      <c r="B49" t="s">
        <v>164</v>
      </c>
      <c r="C49" s="12">
        <v>37</v>
      </c>
      <c r="D49" s="8">
        <v>3.3</v>
      </c>
      <c r="E49" s="12">
        <v>24</v>
      </c>
      <c r="F49" s="8">
        <v>13.26</v>
      </c>
      <c r="G49" s="12">
        <v>13</v>
      </c>
      <c r="H49" s="8">
        <v>1.39</v>
      </c>
      <c r="I49" s="12">
        <v>0</v>
      </c>
    </row>
    <row r="50" spans="2:9" ht="15" customHeight="1" x14ac:dyDescent="0.2">
      <c r="B50" t="s">
        <v>163</v>
      </c>
      <c r="C50" s="12">
        <v>35</v>
      </c>
      <c r="D50" s="8">
        <v>3.12</v>
      </c>
      <c r="E50" s="12">
        <v>23</v>
      </c>
      <c r="F50" s="8">
        <v>12.71</v>
      </c>
      <c r="G50" s="12">
        <v>12</v>
      </c>
      <c r="H50" s="8">
        <v>1.28</v>
      </c>
      <c r="I50" s="12">
        <v>0</v>
      </c>
    </row>
    <row r="51" spans="2:9" ht="15" customHeight="1" x14ac:dyDescent="0.2">
      <c r="B51" t="s">
        <v>158</v>
      </c>
      <c r="C51" s="12">
        <v>34</v>
      </c>
      <c r="D51" s="8">
        <v>3.03</v>
      </c>
      <c r="E51" s="12">
        <v>0</v>
      </c>
      <c r="F51" s="8">
        <v>0</v>
      </c>
      <c r="G51" s="12">
        <v>34</v>
      </c>
      <c r="H51" s="8">
        <v>3.62</v>
      </c>
      <c r="I51" s="12">
        <v>0</v>
      </c>
    </row>
    <row r="52" spans="2:9" ht="15" customHeight="1" x14ac:dyDescent="0.2">
      <c r="B52" t="s">
        <v>165</v>
      </c>
      <c r="C52" s="12">
        <v>32</v>
      </c>
      <c r="D52" s="8">
        <v>2.85</v>
      </c>
      <c r="E52" s="12">
        <v>8</v>
      </c>
      <c r="F52" s="8">
        <v>4.42</v>
      </c>
      <c r="G52" s="12">
        <v>23</v>
      </c>
      <c r="H52" s="8">
        <v>2.4500000000000002</v>
      </c>
      <c r="I52" s="12">
        <v>1</v>
      </c>
    </row>
    <row r="53" spans="2:9" ht="15" customHeight="1" x14ac:dyDescent="0.2">
      <c r="B53" t="s">
        <v>182</v>
      </c>
      <c r="C53" s="12">
        <v>28</v>
      </c>
      <c r="D53" s="8">
        <v>2.5</v>
      </c>
      <c r="E53" s="12">
        <v>1</v>
      </c>
      <c r="F53" s="8">
        <v>0.55000000000000004</v>
      </c>
      <c r="G53" s="12">
        <v>27</v>
      </c>
      <c r="H53" s="8">
        <v>2.88</v>
      </c>
      <c r="I53" s="12">
        <v>0</v>
      </c>
    </row>
    <row r="54" spans="2:9" ht="15" customHeight="1" x14ac:dyDescent="0.2">
      <c r="B54" t="s">
        <v>160</v>
      </c>
      <c r="C54" s="12">
        <v>28</v>
      </c>
      <c r="D54" s="8">
        <v>2.5</v>
      </c>
      <c r="E54" s="12">
        <v>1</v>
      </c>
      <c r="F54" s="8">
        <v>0.55000000000000004</v>
      </c>
      <c r="G54" s="12">
        <v>27</v>
      </c>
      <c r="H54" s="8">
        <v>2.88</v>
      </c>
      <c r="I54" s="12">
        <v>0</v>
      </c>
    </row>
    <row r="55" spans="2:9" ht="15" customHeight="1" x14ac:dyDescent="0.2">
      <c r="B55" t="s">
        <v>169</v>
      </c>
      <c r="C55" s="12">
        <v>28</v>
      </c>
      <c r="D55" s="8">
        <v>2.5</v>
      </c>
      <c r="E55" s="12">
        <v>8</v>
      </c>
      <c r="F55" s="8">
        <v>4.42</v>
      </c>
      <c r="G55" s="12">
        <v>20</v>
      </c>
      <c r="H55" s="8">
        <v>2.13</v>
      </c>
      <c r="I55" s="12">
        <v>0</v>
      </c>
    </row>
    <row r="56" spans="2:9" ht="15" customHeight="1" x14ac:dyDescent="0.2">
      <c r="B56" t="s">
        <v>156</v>
      </c>
      <c r="C56" s="12">
        <v>24</v>
      </c>
      <c r="D56" s="8">
        <v>2.14</v>
      </c>
      <c r="E56" s="12">
        <v>6</v>
      </c>
      <c r="F56" s="8">
        <v>3.31</v>
      </c>
      <c r="G56" s="12">
        <v>18</v>
      </c>
      <c r="H56" s="8">
        <v>1.92</v>
      </c>
      <c r="I56" s="12">
        <v>0</v>
      </c>
    </row>
    <row r="57" spans="2:9" ht="15" customHeight="1" x14ac:dyDescent="0.2">
      <c r="B57" t="s">
        <v>185</v>
      </c>
      <c r="C57" s="12">
        <v>22</v>
      </c>
      <c r="D57" s="8">
        <v>1.96</v>
      </c>
      <c r="E57" s="12">
        <v>1</v>
      </c>
      <c r="F57" s="8">
        <v>0.55000000000000004</v>
      </c>
      <c r="G57" s="12">
        <v>21</v>
      </c>
      <c r="H57" s="8">
        <v>2.2400000000000002</v>
      </c>
      <c r="I57" s="12">
        <v>0</v>
      </c>
    </row>
    <row r="58" spans="2:9" ht="15" customHeight="1" x14ac:dyDescent="0.2">
      <c r="B58" t="s">
        <v>168</v>
      </c>
      <c r="C58" s="12">
        <v>22</v>
      </c>
      <c r="D58" s="8">
        <v>1.96</v>
      </c>
      <c r="E58" s="12">
        <v>4</v>
      </c>
      <c r="F58" s="8">
        <v>2.21</v>
      </c>
      <c r="G58" s="12">
        <v>18</v>
      </c>
      <c r="H58" s="8">
        <v>1.92</v>
      </c>
      <c r="I58" s="12">
        <v>0</v>
      </c>
    </row>
    <row r="59" spans="2:9" ht="15" customHeight="1" x14ac:dyDescent="0.2">
      <c r="B59" t="s">
        <v>166</v>
      </c>
      <c r="C59" s="12">
        <v>22</v>
      </c>
      <c r="D59" s="8">
        <v>1.96</v>
      </c>
      <c r="E59" s="12">
        <v>14</v>
      </c>
      <c r="F59" s="8">
        <v>7.73</v>
      </c>
      <c r="G59" s="12">
        <v>8</v>
      </c>
      <c r="H59" s="8">
        <v>0.85</v>
      </c>
      <c r="I59" s="12">
        <v>0</v>
      </c>
    </row>
    <row r="60" spans="2:9" ht="15" customHeight="1" x14ac:dyDescent="0.2">
      <c r="B60" t="s">
        <v>178</v>
      </c>
      <c r="C60" s="12">
        <v>21</v>
      </c>
      <c r="D60" s="8">
        <v>1.87</v>
      </c>
      <c r="E60" s="12">
        <v>1</v>
      </c>
      <c r="F60" s="8">
        <v>0.55000000000000004</v>
      </c>
      <c r="G60" s="12">
        <v>20</v>
      </c>
      <c r="H60" s="8">
        <v>2.13</v>
      </c>
      <c r="I60" s="12">
        <v>0</v>
      </c>
    </row>
    <row r="61" spans="2:9" ht="15" customHeight="1" x14ac:dyDescent="0.2">
      <c r="B61" t="s">
        <v>161</v>
      </c>
      <c r="C61" s="12">
        <v>21</v>
      </c>
      <c r="D61" s="8">
        <v>1.87</v>
      </c>
      <c r="E61" s="12">
        <v>7</v>
      </c>
      <c r="F61" s="8">
        <v>3.87</v>
      </c>
      <c r="G61" s="12">
        <v>14</v>
      </c>
      <c r="H61" s="8">
        <v>1.49</v>
      </c>
      <c r="I61" s="12">
        <v>0</v>
      </c>
    </row>
    <row r="62" spans="2:9" ht="15" customHeight="1" x14ac:dyDescent="0.2">
      <c r="B62" t="s">
        <v>170</v>
      </c>
      <c r="C62" s="12">
        <v>21</v>
      </c>
      <c r="D62" s="8">
        <v>1.87</v>
      </c>
      <c r="E62" s="12">
        <v>17</v>
      </c>
      <c r="F62" s="8">
        <v>9.39</v>
      </c>
      <c r="G62" s="12">
        <v>4</v>
      </c>
      <c r="H62" s="8">
        <v>0.43</v>
      </c>
      <c r="I62" s="12">
        <v>0</v>
      </c>
    </row>
    <row r="63" spans="2:9" ht="15" customHeight="1" x14ac:dyDescent="0.2">
      <c r="B63" t="s">
        <v>184</v>
      </c>
      <c r="C63" s="12">
        <v>20</v>
      </c>
      <c r="D63" s="8">
        <v>1.78</v>
      </c>
      <c r="E63" s="12">
        <v>1</v>
      </c>
      <c r="F63" s="8">
        <v>0.55000000000000004</v>
      </c>
      <c r="G63" s="12">
        <v>19</v>
      </c>
      <c r="H63" s="8">
        <v>2.0299999999999998</v>
      </c>
      <c r="I63" s="12">
        <v>0</v>
      </c>
    </row>
    <row r="64" spans="2:9" ht="15" customHeight="1" x14ac:dyDescent="0.2">
      <c r="B64" t="s">
        <v>180</v>
      </c>
      <c r="C64" s="12">
        <v>20</v>
      </c>
      <c r="D64" s="8">
        <v>1.78</v>
      </c>
      <c r="E64" s="12">
        <v>7</v>
      </c>
      <c r="F64" s="8">
        <v>3.87</v>
      </c>
      <c r="G64" s="12">
        <v>13</v>
      </c>
      <c r="H64" s="8">
        <v>1.39</v>
      </c>
      <c r="I64" s="12">
        <v>0</v>
      </c>
    </row>
    <row r="65" spans="2:9" ht="15" customHeight="1" x14ac:dyDescent="0.2">
      <c r="B65" t="s">
        <v>183</v>
      </c>
      <c r="C65" s="12">
        <v>18</v>
      </c>
      <c r="D65" s="8">
        <v>1.6</v>
      </c>
      <c r="E65" s="12">
        <v>0</v>
      </c>
      <c r="F65" s="8">
        <v>0</v>
      </c>
      <c r="G65" s="12">
        <v>18</v>
      </c>
      <c r="H65" s="8">
        <v>1.92</v>
      </c>
      <c r="I65" s="12">
        <v>0</v>
      </c>
    </row>
    <row r="66" spans="2:9" ht="15" customHeight="1" x14ac:dyDescent="0.2">
      <c r="B66" t="s">
        <v>157</v>
      </c>
      <c r="C66" s="12">
        <v>17</v>
      </c>
      <c r="D66" s="8">
        <v>1.52</v>
      </c>
      <c r="E66" s="12">
        <v>0</v>
      </c>
      <c r="F66" s="8">
        <v>0</v>
      </c>
      <c r="G66" s="12">
        <v>17</v>
      </c>
      <c r="H66" s="8">
        <v>1.81</v>
      </c>
      <c r="I66" s="12">
        <v>0</v>
      </c>
    </row>
    <row r="67" spans="2:9" ht="15" customHeight="1" x14ac:dyDescent="0.2">
      <c r="B67" t="s">
        <v>186</v>
      </c>
      <c r="C67" s="12">
        <v>17</v>
      </c>
      <c r="D67" s="8">
        <v>1.52</v>
      </c>
      <c r="E67" s="12">
        <v>0</v>
      </c>
      <c r="F67" s="8">
        <v>0</v>
      </c>
      <c r="G67" s="12">
        <v>17</v>
      </c>
      <c r="H67" s="8">
        <v>1.81</v>
      </c>
      <c r="I67" s="12">
        <v>0</v>
      </c>
    </row>
    <row r="69" spans="2:9" ht="15" customHeight="1" x14ac:dyDescent="0.2">
      <c r="B69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126-C22A-45E1-A06D-39D001A20202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259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253</v>
      </c>
      <c r="D6" s="8">
        <v>12.41</v>
      </c>
      <c r="E6" s="12">
        <v>121</v>
      </c>
      <c r="F6" s="8">
        <v>9.51</v>
      </c>
      <c r="G6" s="12">
        <v>132</v>
      </c>
      <c r="H6" s="8">
        <v>17.48</v>
      </c>
      <c r="I6" s="12">
        <v>0</v>
      </c>
    </row>
    <row r="7" spans="2:9" ht="15" customHeight="1" x14ac:dyDescent="0.2">
      <c r="B7" t="s">
        <v>63</v>
      </c>
      <c r="C7" s="12">
        <v>186</v>
      </c>
      <c r="D7" s="8">
        <v>9.1199999999999992</v>
      </c>
      <c r="E7" s="12">
        <v>74</v>
      </c>
      <c r="F7" s="8">
        <v>5.81</v>
      </c>
      <c r="G7" s="12">
        <v>112</v>
      </c>
      <c r="H7" s="8">
        <v>14.83</v>
      </c>
      <c r="I7" s="12">
        <v>0</v>
      </c>
    </row>
    <row r="8" spans="2:9" ht="15" customHeight="1" x14ac:dyDescent="0.2">
      <c r="B8" t="s">
        <v>64</v>
      </c>
      <c r="C8" s="12">
        <v>9</v>
      </c>
      <c r="D8" s="8">
        <v>0.44</v>
      </c>
      <c r="E8" s="12">
        <v>0</v>
      </c>
      <c r="F8" s="8">
        <v>0</v>
      </c>
      <c r="G8" s="12">
        <v>7</v>
      </c>
      <c r="H8" s="8">
        <v>0.93</v>
      </c>
      <c r="I8" s="12">
        <v>0</v>
      </c>
    </row>
    <row r="9" spans="2:9" ht="15" customHeight="1" x14ac:dyDescent="0.2">
      <c r="B9" t="s">
        <v>65</v>
      </c>
      <c r="C9" s="12">
        <v>10</v>
      </c>
      <c r="D9" s="8">
        <v>0.49</v>
      </c>
      <c r="E9" s="12">
        <v>0</v>
      </c>
      <c r="F9" s="8">
        <v>0</v>
      </c>
      <c r="G9" s="12">
        <v>10</v>
      </c>
      <c r="H9" s="8">
        <v>1.32</v>
      </c>
      <c r="I9" s="12">
        <v>0</v>
      </c>
    </row>
    <row r="10" spans="2:9" ht="15" customHeight="1" x14ac:dyDescent="0.2">
      <c r="B10" t="s">
        <v>66</v>
      </c>
      <c r="C10" s="12">
        <v>18</v>
      </c>
      <c r="D10" s="8">
        <v>0.88</v>
      </c>
      <c r="E10" s="12">
        <v>7</v>
      </c>
      <c r="F10" s="8">
        <v>0.55000000000000004</v>
      </c>
      <c r="G10" s="12">
        <v>11</v>
      </c>
      <c r="H10" s="8">
        <v>1.46</v>
      </c>
      <c r="I10" s="12">
        <v>0</v>
      </c>
    </row>
    <row r="11" spans="2:9" ht="15" customHeight="1" x14ac:dyDescent="0.2">
      <c r="B11" t="s">
        <v>67</v>
      </c>
      <c r="C11" s="12">
        <v>624</v>
      </c>
      <c r="D11" s="8">
        <v>30.6</v>
      </c>
      <c r="E11" s="12">
        <v>353</v>
      </c>
      <c r="F11" s="8">
        <v>27.73</v>
      </c>
      <c r="G11" s="12">
        <v>271</v>
      </c>
      <c r="H11" s="8">
        <v>35.89</v>
      </c>
      <c r="I11" s="12">
        <v>0</v>
      </c>
    </row>
    <row r="12" spans="2:9" ht="15" customHeight="1" x14ac:dyDescent="0.2">
      <c r="B12" t="s">
        <v>68</v>
      </c>
      <c r="C12" s="12">
        <v>17</v>
      </c>
      <c r="D12" s="8">
        <v>0.83</v>
      </c>
      <c r="E12" s="12">
        <v>4</v>
      </c>
      <c r="F12" s="8">
        <v>0.31</v>
      </c>
      <c r="G12" s="12">
        <v>13</v>
      </c>
      <c r="H12" s="8">
        <v>1.72</v>
      </c>
      <c r="I12" s="12">
        <v>0</v>
      </c>
    </row>
    <row r="13" spans="2:9" ht="15" customHeight="1" x14ac:dyDescent="0.2">
      <c r="B13" t="s">
        <v>69</v>
      </c>
      <c r="C13" s="12">
        <v>132</v>
      </c>
      <c r="D13" s="8">
        <v>6.47</v>
      </c>
      <c r="E13" s="12">
        <v>74</v>
      </c>
      <c r="F13" s="8">
        <v>5.81</v>
      </c>
      <c r="G13" s="12">
        <v>58</v>
      </c>
      <c r="H13" s="8">
        <v>7.68</v>
      </c>
      <c r="I13" s="12">
        <v>0</v>
      </c>
    </row>
    <row r="14" spans="2:9" ht="15" customHeight="1" x14ac:dyDescent="0.2">
      <c r="B14" t="s">
        <v>70</v>
      </c>
      <c r="C14" s="12">
        <v>61</v>
      </c>
      <c r="D14" s="8">
        <v>2.99</v>
      </c>
      <c r="E14" s="12">
        <v>42</v>
      </c>
      <c r="F14" s="8">
        <v>3.3</v>
      </c>
      <c r="G14" s="12">
        <v>17</v>
      </c>
      <c r="H14" s="8">
        <v>2.25</v>
      </c>
      <c r="I14" s="12">
        <v>0</v>
      </c>
    </row>
    <row r="15" spans="2:9" ht="15" customHeight="1" x14ac:dyDescent="0.2">
      <c r="B15" t="s">
        <v>71</v>
      </c>
      <c r="C15" s="12">
        <v>261</v>
      </c>
      <c r="D15" s="8">
        <v>12.8</v>
      </c>
      <c r="E15" s="12">
        <v>225</v>
      </c>
      <c r="F15" s="8">
        <v>17.670000000000002</v>
      </c>
      <c r="G15" s="12">
        <v>35</v>
      </c>
      <c r="H15" s="8">
        <v>4.6399999999999997</v>
      </c>
      <c r="I15" s="12">
        <v>0</v>
      </c>
    </row>
    <row r="16" spans="2:9" ht="15" customHeight="1" x14ac:dyDescent="0.2">
      <c r="B16" t="s">
        <v>72</v>
      </c>
      <c r="C16" s="12">
        <v>255</v>
      </c>
      <c r="D16" s="8">
        <v>12.51</v>
      </c>
      <c r="E16" s="12">
        <v>226</v>
      </c>
      <c r="F16" s="8">
        <v>17.75</v>
      </c>
      <c r="G16" s="12">
        <v>29</v>
      </c>
      <c r="H16" s="8">
        <v>3.84</v>
      </c>
      <c r="I16" s="12">
        <v>0</v>
      </c>
    </row>
    <row r="17" spans="2:9" ht="15" customHeight="1" x14ac:dyDescent="0.2">
      <c r="B17" t="s">
        <v>73</v>
      </c>
      <c r="C17" s="12">
        <v>47</v>
      </c>
      <c r="D17" s="8">
        <v>2.31</v>
      </c>
      <c r="E17" s="12">
        <v>38</v>
      </c>
      <c r="F17" s="8">
        <v>2.99</v>
      </c>
      <c r="G17" s="12">
        <v>8</v>
      </c>
      <c r="H17" s="8">
        <v>1.06</v>
      </c>
      <c r="I17" s="12">
        <v>0</v>
      </c>
    </row>
    <row r="18" spans="2:9" ht="15" customHeight="1" x14ac:dyDescent="0.2">
      <c r="B18" t="s">
        <v>74</v>
      </c>
      <c r="C18" s="12">
        <v>90</v>
      </c>
      <c r="D18" s="8">
        <v>4.41</v>
      </c>
      <c r="E18" s="12">
        <v>60</v>
      </c>
      <c r="F18" s="8">
        <v>4.71</v>
      </c>
      <c r="G18" s="12">
        <v>28</v>
      </c>
      <c r="H18" s="8">
        <v>3.71</v>
      </c>
      <c r="I18" s="12">
        <v>0</v>
      </c>
    </row>
    <row r="19" spans="2:9" ht="15" customHeight="1" x14ac:dyDescent="0.2">
      <c r="B19" t="s">
        <v>75</v>
      </c>
      <c r="C19" s="12">
        <v>76</v>
      </c>
      <c r="D19" s="8">
        <v>3.73</v>
      </c>
      <c r="E19" s="12">
        <v>49</v>
      </c>
      <c r="F19" s="8">
        <v>3.85</v>
      </c>
      <c r="G19" s="12">
        <v>24</v>
      </c>
      <c r="H19" s="8">
        <v>3.18</v>
      </c>
      <c r="I19" s="12">
        <v>0</v>
      </c>
    </row>
    <row r="20" spans="2:9" ht="15" customHeight="1" x14ac:dyDescent="0.2">
      <c r="B20" s="9" t="s">
        <v>248</v>
      </c>
      <c r="C20" s="12">
        <f>SUM(LTBL_12202[総数／事業所数])</f>
        <v>2039</v>
      </c>
      <c r="E20" s="12">
        <f>SUBTOTAL(109,LTBL_12202[個人／事業所数])</f>
        <v>1273</v>
      </c>
      <c r="G20" s="12">
        <f>SUBTOTAL(109,LTBL_12202[法人／事業所数])</f>
        <v>755</v>
      </c>
      <c r="I20" s="12">
        <f>SUBTOTAL(109,LTBL_12202[法人以外の団体／事業所数])</f>
        <v>0</v>
      </c>
    </row>
    <row r="21" spans="2:9" ht="15" customHeight="1" x14ac:dyDescent="0.2">
      <c r="E21" s="11">
        <f>LTBL_12202[[#Totals],[個人／事業所数]]/LTBL_12202[[#Totals],[総数／事業所数]]</f>
        <v>0.62432564982834726</v>
      </c>
      <c r="G21" s="11">
        <f>LTBL_12202[[#Totals],[法人／事業所数]]/LTBL_12202[[#Totals],[総数／事業所数]]</f>
        <v>0.37027954879843061</v>
      </c>
      <c r="I21" s="11">
        <f>LTBL_12202[[#Totals],[法人以外の団体／事業所数]]/LTBL_12202[[#Totals],[総数／事業所数]]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233</v>
      </c>
      <c r="D24" s="8">
        <v>11.43</v>
      </c>
      <c r="E24" s="12">
        <v>213</v>
      </c>
      <c r="F24" s="8">
        <v>16.73</v>
      </c>
      <c r="G24" s="12">
        <v>20</v>
      </c>
      <c r="H24" s="8">
        <v>2.65</v>
      </c>
      <c r="I24" s="12">
        <v>0</v>
      </c>
    </row>
    <row r="25" spans="2:9" ht="15" customHeight="1" x14ac:dyDescent="0.2">
      <c r="B25" t="s">
        <v>97</v>
      </c>
      <c r="C25" s="12">
        <v>231</v>
      </c>
      <c r="D25" s="8">
        <v>11.33</v>
      </c>
      <c r="E25" s="12">
        <v>211</v>
      </c>
      <c r="F25" s="8">
        <v>16.579999999999998</v>
      </c>
      <c r="G25" s="12">
        <v>20</v>
      </c>
      <c r="H25" s="8">
        <v>2.65</v>
      </c>
      <c r="I25" s="12">
        <v>0</v>
      </c>
    </row>
    <row r="26" spans="2:9" ht="15" customHeight="1" x14ac:dyDescent="0.2">
      <c r="B26" t="s">
        <v>92</v>
      </c>
      <c r="C26" s="12">
        <v>189</v>
      </c>
      <c r="D26" s="8">
        <v>9.27</v>
      </c>
      <c r="E26" s="12">
        <v>116</v>
      </c>
      <c r="F26" s="8">
        <v>9.11</v>
      </c>
      <c r="G26" s="12">
        <v>73</v>
      </c>
      <c r="H26" s="8">
        <v>9.67</v>
      </c>
      <c r="I26" s="12">
        <v>0</v>
      </c>
    </row>
    <row r="27" spans="2:9" ht="15" customHeight="1" x14ac:dyDescent="0.2">
      <c r="B27" t="s">
        <v>90</v>
      </c>
      <c r="C27" s="12">
        <v>162</v>
      </c>
      <c r="D27" s="8">
        <v>7.95</v>
      </c>
      <c r="E27" s="12">
        <v>114</v>
      </c>
      <c r="F27" s="8">
        <v>8.9600000000000009</v>
      </c>
      <c r="G27" s="12">
        <v>48</v>
      </c>
      <c r="H27" s="8">
        <v>6.36</v>
      </c>
      <c r="I27" s="12">
        <v>0</v>
      </c>
    </row>
    <row r="28" spans="2:9" ht="15" customHeight="1" x14ac:dyDescent="0.2">
      <c r="B28" t="s">
        <v>94</v>
      </c>
      <c r="C28" s="12">
        <v>112</v>
      </c>
      <c r="D28" s="8">
        <v>5.49</v>
      </c>
      <c r="E28" s="12">
        <v>72</v>
      </c>
      <c r="F28" s="8">
        <v>5.66</v>
      </c>
      <c r="G28" s="12">
        <v>40</v>
      </c>
      <c r="H28" s="8">
        <v>5.3</v>
      </c>
      <c r="I28" s="12">
        <v>0</v>
      </c>
    </row>
    <row r="29" spans="2:9" ht="15" customHeight="1" x14ac:dyDescent="0.2">
      <c r="B29" t="s">
        <v>85</v>
      </c>
      <c r="C29" s="12">
        <v>106</v>
      </c>
      <c r="D29" s="8">
        <v>5.2</v>
      </c>
      <c r="E29" s="12">
        <v>65</v>
      </c>
      <c r="F29" s="8">
        <v>5.1100000000000003</v>
      </c>
      <c r="G29" s="12">
        <v>41</v>
      </c>
      <c r="H29" s="8">
        <v>5.43</v>
      </c>
      <c r="I29" s="12">
        <v>0</v>
      </c>
    </row>
    <row r="30" spans="2:9" ht="15" customHeight="1" x14ac:dyDescent="0.2">
      <c r="B30" t="s">
        <v>84</v>
      </c>
      <c r="C30" s="12">
        <v>83</v>
      </c>
      <c r="D30" s="8">
        <v>4.07</v>
      </c>
      <c r="E30" s="12">
        <v>35</v>
      </c>
      <c r="F30" s="8">
        <v>2.75</v>
      </c>
      <c r="G30" s="12">
        <v>48</v>
      </c>
      <c r="H30" s="8">
        <v>6.36</v>
      </c>
      <c r="I30" s="12">
        <v>0</v>
      </c>
    </row>
    <row r="31" spans="2:9" ht="15" customHeight="1" x14ac:dyDescent="0.2">
      <c r="B31" t="s">
        <v>89</v>
      </c>
      <c r="C31" s="12">
        <v>76</v>
      </c>
      <c r="D31" s="8">
        <v>3.73</v>
      </c>
      <c r="E31" s="12">
        <v>38</v>
      </c>
      <c r="F31" s="8">
        <v>2.99</v>
      </c>
      <c r="G31" s="12">
        <v>38</v>
      </c>
      <c r="H31" s="8">
        <v>5.03</v>
      </c>
      <c r="I31" s="12">
        <v>0</v>
      </c>
    </row>
    <row r="32" spans="2:9" ht="15" customHeight="1" x14ac:dyDescent="0.2">
      <c r="B32" t="s">
        <v>101</v>
      </c>
      <c r="C32" s="12">
        <v>65</v>
      </c>
      <c r="D32" s="8">
        <v>3.19</v>
      </c>
      <c r="E32" s="12">
        <v>60</v>
      </c>
      <c r="F32" s="8">
        <v>4.71</v>
      </c>
      <c r="G32" s="12">
        <v>5</v>
      </c>
      <c r="H32" s="8">
        <v>0.66</v>
      </c>
      <c r="I32" s="12">
        <v>0</v>
      </c>
    </row>
    <row r="33" spans="2:9" ht="15" customHeight="1" x14ac:dyDescent="0.2">
      <c r="B33" t="s">
        <v>86</v>
      </c>
      <c r="C33" s="12">
        <v>64</v>
      </c>
      <c r="D33" s="8">
        <v>3.14</v>
      </c>
      <c r="E33" s="12">
        <v>21</v>
      </c>
      <c r="F33" s="8">
        <v>1.65</v>
      </c>
      <c r="G33" s="12">
        <v>43</v>
      </c>
      <c r="H33" s="8">
        <v>5.7</v>
      </c>
      <c r="I33" s="12">
        <v>0</v>
      </c>
    </row>
    <row r="34" spans="2:9" ht="15" customHeight="1" x14ac:dyDescent="0.2">
      <c r="B34" t="s">
        <v>91</v>
      </c>
      <c r="C34" s="12">
        <v>55</v>
      </c>
      <c r="D34" s="8">
        <v>2.7</v>
      </c>
      <c r="E34" s="12">
        <v>41</v>
      </c>
      <c r="F34" s="8">
        <v>3.22</v>
      </c>
      <c r="G34" s="12">
        <v>14</v>
      </c>
      <c r="H34" s="8">
        <v>1.85</v>
      </c>
      <c r="I34" s="12">
        <v>0</v>
      </c>
    </row>
    <row r="35" spans="2:9" ht="15" customHeight="1" x14ac:dyDescent="0.2">
      <c r="B35" t="s">
        <v>110</v>
      </c>
      <c r="C35" s="12">
        <v>52</v>
      </c>
      <c r="D35" s="8">
        <v>2.5499999999999998</v>
      </c>
      <c r="E35" s="12">
        <v>13</v>
      </c>
      <c r="F35" s="8">
        <v>1.02</v>
      </c>
      <c r="G35" s="12">
        <v>39</v>
      </c>
      <c r="H35" s="8">
        <v>5.17</v>
      </c>
      <c r="I35" s="12">
        <v>0</v>
      </c>
    </row>
    <row r="36" spans="2:9" ht="15" customHeight="1" x14ac:dyDescent="0.2">
      <c r="B36" t="s">
        <v>109</v>
      </c>
      <c r="C36" s="12">
        <v>49</v>
      </c>
      <c r="D36" s="8">
        <v>2.4</v>
      </c>
      <c r="E36" s="12">
        <v>15</v>
      </c>
      <c r="F36" s="8">
        <v>1.18</v>
      </c>
      <c r="G36" s="12">
        <v>34</v>
      </c>
      <c r="H36" s="8">
        <v>4.5</v>
      </c>
      <c r="I36" s="12">
        <v>0</v>
      </c>
    </row>
    <row r="37" spans="2:9" ht="15" customHeight="1" x14ac:dyDescent="0.2">
      <c r="B37" t="s">
        <v>100</v>
      </c>
      <c r="C37" s="12">
        <v>47</v>
      </c>
      <c r="D37" s="8">
        <v>2.31</v>
      </c>
      <c r="E37" s="12">
        <v>38</v>
      </c>
      <c r="F37" s="8">
        <v>2.99</v>
      </c>
      <c r="G37" s="12">
        <v>8</v>
      </c>
      <c r="H37" s="8">
        <v>1.06</v>
      </c>
      <c r="I37" s="12">
        <v>0</v>
      </c>
    </row>
    <row r="38" spans="2:9" ht="15" customHeight="1" x14ac:dyDescent="0.2">
      <c r="B38" t="s">
        <v>103</v>
      </c>
      <c r="C38" s="12">
        <v>43</v>
      </c>
      <c r="D38" s="8">
        <v>2.11</v>
      </c>
      <c r="E38" s="12">
        <v>40</v>
      </c>
      <c r="F38" s="8">
        <v>3.14</v>
      </c>
      <c r="G38" s="12">
        <v>3</v>
      </c>
      <c r="H38" s="8">
        <v>0.4</v>
      </c>
      <c r="I38" s="12">
        <v>0</v>
      </c>
    </row>
    <row r="39" spans="2:9" ht="15" customHeight="1" x14ac:dyDescent="0.2">
      <c r="B39" t="s">
        <v>87</v>
      </c>
      <c r="C39" s="12">
        <v>42</v>
      </c>
      <c r="D39" s="8">
        <v>2.06</v>
      </c>
      <c r="E39" s="12">
        <v>17</v>
      </c>
      <c r="F39" s="8">
        <v>1.34</v>
      </c>
      <c r="G39" s="12">
        <v>25</v>
      </c>
      <c r="H39" s="8">
        <v>3.31</v>
      </c>
      <c r="I39" s="12">
        <v>0</v>
      </c>
    </row>
    <row r="40" spans="2:9" ht="15" customHeight="1" x14ac:dyDescent="0.2">
      <c r="B40" t="s">
        <v>95</v>
      </c>
      <c r="C40" s="12">
        <v>33</v>
      </c>
      <c r="D40" s="8">
        <v>1.62</v>
      </c>
      <c r="E40" s="12">
        <v>24</v>
      </c>
      <c r="F40" s="8">
        <v>1.89</v>
      </c>
      <c r="G40" s="12">
        <v>9</v>
      </c>
      <c r="H40" s="8">
        <v>1.19</v>
      </c>
      <c r="I40" s="12">
        <v>0</v>
      </c>
    </row>
    <row r="41" spans="2:9" ht="15" customHeight="1" x14ac:dyDescent="0.2">
      <c r="B41" t="s">
        <v>96</v>
      </c>
      <c r="C41" s="12">
        <v>25</v>
      </c>
      <c r="D41" s="8">
        <v>1.23</v>
      </c>
      <c r="E41" s="12">
        <v>18</v>
      </c>
      <c r="F41" s="8">
        <v>1.41</v>
      </c>
      <c r="G41" s="12">
        <v>6</v>
      </c>
      <c r="H41" s="8">
        <v>0.79</v>
      </c>
      <c r="I41" s="12">
        <v>0</v>
      </c>
    </row>
    <row r="42" spans="2:9" ht="15" customHeight="1" x14ac:dyDescent="0.2">
      <c r="B42" t="s">
        <v>102</v>
      </c>
      <c r="C42" s="12">
        <v>25</v>
      </c>
      <c r="D42" s="8">
        <v>1.23</v>
      </c>
      <c r="E42" s="12">
        <v>0</v>
      </c>
      <c r="F42" s="8">
        <v>0</v>
      </c>
      <c r="G42" s="12">
        <v>23</v>
      </c>
      <c r="H42" s="8">
        <v>3.05</v>
      </c>
      <c r="I42" s="12">
        <v>0</v>
      </c>
    </row>
    <row r="43" spans="2:9" ht="15" customHeight="1" x14ac:dyDescent="0.2">
      <c r="B43" t="s">
        <v>104</v>
      </c>
      <c r="C43" s="12">
        <v>23</v>
      </c>
      <c r="D43" s="8">
        <v>1.1299999999999999</v>
      </c>
      <c r="E43" s="12">
        <v>6</v>
      </c>
      <c r="F43" s="8">
        <v>0.47</v>
      </c>
      <c r="G43" s="12">
        <v>17</v>
      </c>
      <c r="H43" s="8">
        <v>2.25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109</v>
      </c>
      <c r="D47" s="8">
        <v>5.35</v>
      </c>
      <c r="E47" s="12">
        <v>105</v>
      </c>
      <c r="F47" s="8">
        <v>8.25</v>
      </c>
      <c r="G47" s="12">
        <v>4</v>
      </c>
      <c r="H47" s="8">
        <v>0.53</v>
      </c>
      <c r="I47" s="12">
        <v>0</v>
      </c>
    </row>
    <row r="48" spans="2:9" ht="15" customHeight="1" x14ac:dyDescent="0.2">
      <c r="B48" t="s">
        <v>163</v>
      </c>
      <c r="C48" s="12">
        <v>86</v>
      </c>
      <c r="D48" s="8">
        <v>4.22</v>
      </c>
      <c r="E48" s="12">
        <v>81</v>
      </c>
      <c r="F48" s="8">
        <v>6.36</v>
      </c>
      <c r="G48" s="12">
        <v>5</v>
      </c>
      <c r="H48" s="8">
        <v>0.66</v>
      </c>
      <c r="I48" s="12">
        <v>0</v>
      </c>
    </row>
    <row r="49" spans="2:9" ht="15" customHeight="1" x14ac:dyDescent="0.2">
      <c r="B49" t="s">
        <v>161</v>
      </c>
      <c r="C49" s="12">
        <v>70</v>
      </c>
      <c r="D49" s="8">
        <v>3.43</v>
      </c>
      <c r="E49" s="12">
        <v>61</v>
      </c>
      <c r="F49" s="8">
        <v>4.79</v>
      </c>
      <c r="G49" s="12">
        <v>9</v>
      </c>
      <c r="H49" s="8">
        <v>1.19</v>
      </c>
      <c r="I49" s="12">
        <v>0</v>
      </c>
    </row>
    <row r="50" spans="2:9" ht="15" customHeight="1" x14ac:dyDescent="0.2">
      <c r="B50" t="s">
        <v>158</v>
      </c>
      <c r="C50" s="12">
        <v>65</v>
      </c>
      <c r="D50" s="8">
        <v>3.19</v>
      </c>
      <c r="E50" s="12">
        <v>55</v>
      </c>
      <c r="F50" s="8">
        <v>4.32</v>
      </c>
      <c r="G50" s="12">
        <v>10</v>
      </c>
      <c r="H50" s="8">
        <v>1.32</v>
      </c>
      <c r="I50" s="12">
        <v>0</v>
      </c>
    </row>
    <row r="51" spans="2:9" ht="15" customHeight="1" x14ac:dyDescent="0.2">
      <c r="B51" t="s">
        <v>156</v>
      </c>
      <c r="C51" s="12">
        <v>54</v>
      </c>
      <c r="D51" s="8">
        <v>2.65</v>
      </c>
      <c r="E51" s="12">
        <v>37</v>
      </c>
      <c r="F51" s="8">
        <v>2.91</v>
      </c>
      <c r="G51" s="12">
        <v>17</v>
      </c>
      <c r="H51" s="8">
        <v>2.25</v>
      </c>
      <c r="I51" s="12">
        <v>0</v>
      </c>
    </row>
    <row r="52" spans="2:9" ht="15" customHeight="1" x14ac:dyDescent="0.2">
      <c r="B52" t="s">
        <v>162</v>
      </c>
      <c r="C52" s="12">
        <v>51</v>
      </c>
      <c r="D52" s="8">
        <v>2.5</v>
      </c>
      <c r="E52" s="12">
        <v>50</v>
      </c>
      <c r="F52" s="8">
        <v>3.93</v>
      </c>
      <c r="G52" s="12">
        <v>1</v>
      </c>
      <c r="H52" s="8">
        <v>0.13</v>
      </c>
      <c r="I52" s="12">
        <v>0</v>
      </c>
    </row>
    <row r="53" spans="2:9" ht="15" customHeight="1" x14ac:dyDescent="0.2">
      <c r="B53" t="s">
        <v>154</v>
      </c>
      <c r="C53" s="12">
        <v>50</v>
      </c>
      <c r="D53" s="8">
        <v>2.4500000000000002</v>
      </c>
      <c r="E53" s="12">
        <v>37</v>
      </c>
      <c r="F53" s="8">
        <v>2.91</v>
      </c>
      <c r="G53" s="12">
        <v>13</v>
      </c>
      <c r="H53" s="8">
        <v>1.72</v>
      </c>
      <c r="I53" s="12">
        <v>0</v>
      </c>
    </row>
    <row r="54" spans="2:9" ht="15" customHeight="1" x14ac:dyDescent="0.2">
      <c r="B54" t="s">
        <v>167</v>
      </c>
      <c r="C54" s="12">
        <v>43</v>
      </c>
      <c r="D54" s="8">
        <v>2.11</v>
      </c>
      <c r="E54" s="12">
        <v>40</v>
      </c>
      <c r="F54" s="8">
        <v>3.14</v>
      </c>
      <c r="G54" s="12">
        <v>3</v>
      </c>
      <c r="H54" s="8">
        <v>0.4</v>
      </c>
      <c r="I54" s="12">
        <v>0</v>
      </c>
    </row>
    <row r="55" spans="2:9" ht="15" customHeight="1" x14ac:dyDescent="0.2">
      <c r="B55" t="s">
        <v>166</v>
      </c>
      <c r="C55" s="12">
        <v>40</v>
      </c>
      <c r="D55" s="8">
        <v>1.96</v>
      </c>
      <c r="E55" s="12">
        <v>37</v>
      </c>
      <c r="F55" s="8">
        <v>2.91</v>
      </c>
      <c r="G55" s="12">
        <v>3</v>
      </c>
      <c r="H55" s="8">
        <v>0.4</v>
      </c>
      <c r="I55" s="12">
        <v>0</v>
      </c>
    </row>
    <row r="56" spans="2:9" ht="15" customHeight="1" x14ac:dyDescent="0.2">
      <c r="B56" t="s">
        <v>150</v>
      </c>
      <c r="C56" s="12">
        <v>38</v>
      </c>
      <c r="D56" s="8">
        <v>1.86</v>
      </c>
      <c r="E56" s="12">
        <v>25</v>
      </c>
      <c r="F56" s="8">
        <v>1.96</v>
      </c>
      <c r="G56" s="12">
        <v>13</v>
      </c>
      <c r="H56" s="8">
        <v>1.72</v>
      </c>
      <c r="I56" s="12">
        <v>0</v>
      </c>
    </row>
    <row r="57" spans="2:9" ht="15" customHeight="1" x14ac:dyDescent="0.2">
      <c r="B57" t="s">
        <v>190</v>
      </c>
      <c r="C57" s="12">
        <v>37</v>
      </c>
      <c r="D57" s="8">
        <v>1.81</v>
      </c>
      <c r="E57" s="12">
        <v>19</v>
      </c>
      <c r="F57" s="8">
        <v>1.49</v>
      </c>
      <c r="G57" s="12">
        <v>18</v>
      </c>
      <c r="H57" s="8">
        <v>2.38</v>
      </c>
      <c r="I57" s="12">
        <v>0</v>
      </c>
    </row>
    <row r="58" spans="2:9" ht="15" customHeight="1" x14ac:dyDescent="0.2">
      <c r="B58" t="s">
        <v>191</v>
      </c>
      <c r="C58" s="12">
        <v>37</v>
      </c>
      <c r="D58" s="8">
        <v>1.81</v>
      </c>
      <c r="E58" s="12">
        <v>24</v>
      </c>
      <c r="F58" s="8">
        <v>1.89</v>
      </c>
      <c r="G58" s="12">
        <v>13</v>
      </c>
      <c r="H58" s="8">
        <v>1.72</v>
      </c>
      <c r="I58" s="12">
        <v>0</v>
      </c>
    </row>
    <row r="59" spans="2:9" ht="15" customHeight="1" x14ac:dyDescent="0.2">
      <c r="B59" t="s">
        <v>183</v>
      </c>
      <c r="C59" s="12">
        <v>34</v>
      </c>
      <c r="D59" s="8">
        <v>1.67</v>
      </c>
      <c r="E59" s="12">
        <v>11</v>
      </c>
      <c r="F59" s="8">
        <v>0.86</v>
      </c>
      <c r="G59" s="12">
        <v>23</v>
      </c>
      <c r="H59" s="8">
        <v>3.05</v>
      </c>
      <c r="I59" s="12">
        <v>0</v>
      </c>
    </row>
    <row r="60" spans="2:9" ht="15" customHeight="1" x14ac:dyDescent="0.2">
      <c r="B60" t="s">
        <v>187</v>
      </c>
      <c r="C60" s="12">
        <v>32</v>
      </c>
      <c r="D60" s="8">
        <v>1.57</v>
      </c>
      <c r="E60" s="12">
        <v>9</v>
      </c>
      <c r="F60" s="8">
        <v>0.71</v>
      </c>
      <c r="G60" s="12">
        <v>23</v>
      </c>
      <c r="H60" s="8">
        <v>3.05</v>
      </c>
      <c r="I60" s="12">
        <v>0</v>
      </c>
    </row>
    <row r="61" spans="2:9" ht="15" customHeight="1" x14ac:dyDescent="0.2">
      <c r="B61" t="s">
        <v>192</v>
      </c>
      <c r="C61" s="12">
        <v>32</v>
      </c>
      <c r="D61" s="8">
        <v>1.57</v>
      </c>
      <c r="E61" s="12">
        <v>30</v>
      </c>
      <c r="F61" s="8">
        <v>2.36</v>
      </c>
      <c r="G61" s="12">
        <v>2</v>
      </c>
      <c r="H61" s="8">
        <v>0.26</v>
      </c>
      <c r="I61" s="12">
        <v>0</v>
      </c>
    </row>
    <row r="62" spans="2:9" ht="15" customHeight="1" x14ac:dyDescent="0.2">
      <c r="B62" t="s">
        <v>177</v>
      </c>
      <c r="C62" s="12">
        <v>30</v>
      </c>
      <c r="D62" s="8">
        <v>1.47</v>
      </c>
      <c r="E62" s="12">
        <v>16</v>
      </c>
      <c r="F62" s="8">
        <v>1.26</v>
      </c>
      <c r="G62" s="12">
        <v>14</v>
      </c>
      <c r="H62" s="8">
        <v>1.85</v>
      </c>
      <c r="I62" s="12">
        <v>0</v>
      </c>
    </row>
    <row r="63" spans="2:9" ht="15" customHeight="1" x14ac:dyDescent="0.2">
      <c r="B63" t="s">
        <v>189</v>
      </c>
      <c r="C63" s="12">
        <v>30</v>
      </c>
      <c r="D63" s="8">
        <v>1.47</v>
      </c>
      <c r="E63" s="12">
        <v>20</v>
      </c>
      <c r="F63" s="8">
        <v>1.57</v>
      </c>
      <c r="G63" s="12">
        <v>10</v>
      </c>
      <c r="H63" s="8">
        <v>1.32</v>
      </c>
      <c r="I63" s="12">
        <v>0</v>
      </c>
    </row>
    <row r="64" spans="2:9" ht="15" customHeight="1" x14ac:dyDescent="0.2">
      <c r="B64" t="s">
        <v>168</v>
      </c>
      <c r="C64" s="12">
        <v>30</v>
      </c>
      <c r="D64" s="8">
        <v>1.47</v>
      </c>
      <c r="E64" s="12">
        <v>17</v>
      </c>
      <c r="F64" s="8">
        <v>1.34</v>
      </c>
      <c r="G64" s="12">
        <v>13</v>
      </c>
      <c r="H64" s="8">
        <v>1.72</v>
      </c>
      <c r="I64" s="12">
        <v>0</v>
      </c>
    </row>
    <row r="65" spans="2:9" ht="15" customHeight="1" x14ac:dyDescent="0.2">
      <c r="B65" t="s">
        <v>165</v>
      </c>
      <c r="C65" s="12">
        <v>29</v>
      </c>
      <c r="D65" s="8">
        <v>1.42</v>
      </c>
      <c r="E65" s="12">
        <v>25</v>
      </c>
      <c r="F65" s="8">
        <v>1.96</v>
      </c>
      <c r="G65" s="12">
        <v>4</v>
      </c>
      <c r="H65" s="8">
        <v>0.53</v>
      </c>
      <c r="I65" s="12">
        <v>0</v>
      </c>
    </row>
    <row r="66" spans="2:9" ht="15" customHeight="1" x14ac:dyDescent="0.2">
      <c r="B66" t="s">
        <v>152</v>
      </c>
      <c r="C66" s="12">
        <v>28</v>
      </c>
      <c r="D66" s="8">
        <v>1.37</v>
      </c>
      <c r="E66" s="12">
        <v>13</v>
      </c>
      <c r="F66" s="8">
        <v>1.02</v>
      </c>
      <c r="G66" s="12">
        <v>15</v>
      </c>
      <c r="H66" s="8">
        <v>1.99</v>
      </c>
      <c r="I66" s="12">
        <v>0</v>
      </c>
    </row>
    <row r="67" spans="2:9" ht="15" customHeight="1" x14ac:dyDescent="0.2">
      <c r="B67" t="s">
        <v>188</v>
      </c>
      <c r="C67" s="12">
        <v>28</v>
      </c>
      <c r="D67" s="8">
        <v>1.37</v>
      </c>
      <c r="E67" s="12">
        <v>13</v>
      </c>
      <c r="F67" s="8">
        <v>1.02</v>
      </c>
      <c r="G67" s="12">
        <v>15</v>
      </c>
      <c r="H67" s="8">
        <v>1.99</v>
      </c>
      <c r="I67" s="12">
        <v>0</v>
      </c>
    </row>
    <row r="68" spans="2:9" ht="15" customHeight="1" x14ac:dyDescent="0.2">
      <c r="B68" t="s">
        <v>157</v>
      </c>
      <c r="C68" s="12">
        <v>28</v>
      </c>
      <c r="D68" s="8">
        <v>1.37</v>
      </c>
      <c r="E68" s="12">
        <v>8</v>
      </c>
      <c r="F68" s="8">
        <v>0.63</v>
      </c>
      <c r="G68" s="12">
        <v>20</v>
      </c>
      <c r="H68" s="8">
        <v>2.65</v>
      </c>
      <c r="I68" s="12">
        <v>0</v>
      </c>
    </row>
    <row r="70" spans="2:9" ht="15" customHeight="1" x14ac:dyDescent="0.2">
      <c r="B70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B36FB-3935-4588-A3E9-4D333C9B47E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260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840</v>
      </c>
      <c r="D6" s="8">
        <v>12.68</v>
      </c>
      <c r="E6" s="12">
        <v>92</v>
      </c>
      <c r="F6" s="8">
        <v>3.7</v>
      </c>
      <c r="G6" s="12">
        <v>748</v>
      </c>
      <c r="H6" s="8">
        <v>18.27</v>
      </c>
      <c r="I6" s="12">
        <v>0</v>
      </c>
    </row>
    <row r="7" spans="2:9" ht="15" customHeight="1" x14ac:dyDescent="0.2">
      <c r="B7" t="s">
        <v>63</v>
      </c>
      <c r="C7" s="12">
        <v>393</v>
      </c>
      <c r="D7" s="8">
        <v>5.93</v>
      </c>
      <c r="E7" s="12">
        <v>66</v>
      </c>
      <c r="F7" s="8">
        <v>2.66</v>
      </c>
      <c r="G7" s="12">
        <v>327</v>
      </c>
      <c r="H7" s="8">
        <v>7.99</v>
      </c>
      <c r="I7" s="12">
        <v>0</v>
      </c>
    </row>
    <row r="8" spans="2:9" ht="15" customHeight="1" x14ac:dyDescent="0.2">
      <c r="B8" t="s">
        <v>64</v>
      </c>
      <c r="C8" s="12">
        <v>4</v>
      </c>
      <c r="D8" s="8">
        <v>0.06</v>
      </c>
      <c r="E8" s="12">
        <v>0</v>
      </c>
      <c r="F8" s="8">
        <v>0</v>
      </c>
      <c r="G8" s="12">
        <v>4</v>
      </c>
      <c r="H8" s="8">
        <v>0.1</v>
      </c>
      <c r="I8" s="12">
        <v>0</v>
      </c>
    </row>
    <row r="9" spans="2:9" ht="15" customHeight="1" x14ac:dyDescent="0.2">
      <c r="B9" t="s">
        <v>65</v>
      </c>
      <c r="C9" s="12">
        <v>116</v>
      </c>
      <c r="D9" s="8">
        <v>1.75</v>
      </c>
      <c r="E9" s="12">
        <v>1</v>
      </c>
      <c r="F9" s="8">
        <v>0.04</v>
      </c>
      <c r="G9" s="12">
        <v>115</v>
      </c>
      <c r="H9" s="8">
        <v>2.81</v>
      </c>
      <c r="I9" s="12">
        <v>0</v>
      </c>
    </row>
    <row r="10" spans="2:9" ht="15" customHeight="1" x14ac:dyDescent="0.2">
      <c r="B10" t="s">
        <v>66</v>
      </c>
      <c r="C10" s="12">
        <v>77</v>
      </c>
      <c r="D10" s="8">
        <v>1.1599999999999999</v>
      </c>
      <c r="E10" s="12">
        <v>8</v>
      </c>
      <c r="F10" s="8">
        <v>0.32</v>
      </c>
      <c r="G10" s="12">
        <v>69</v>
      </c>
      <c r="H10" s="8">
        <v>1.69</v>
      </c>
      <c r="I10" s="12">
        <v>0</v>
      </c>
    </row>
    <row r="11" spans="2:9" ht="15" customHeight="1" x14ac:dyDescent="0.2">
      <c r="B11" t="s">
        <v>67</v>
      </c>
      <c r="C11" s="12">
        <v>1271</v>
      </c>
      <c r="D11" s="8">
        <v>19.190000000000001</v>
      </c>
      <c r="E11" s="12">
        <v>439</v>
      </c>
      <c r="F11" s="8">
        <v>17.670000000000002</v>
      </c>
      <c r="G11" s="12">
        <v>832</v>
      </c>
      <c r="H11" s="8">
        <v>20.32</v>
      </c>
      <c r="I11" s="12">
        <v>0</v>
      </c>
    </row>
    <row r="12" spans="2:9" ht="15" customHeight="1" x14ac:dyDescent="0.2">
      <c r="B12" t="s">
        <v>68</v>
      </c>
      <c r="C12" s="12">
        <v>29</v>
      </c>
      <c r="D12" s="8">
        <v>0.44</v>
      </c>
      <c r="E12" s="12">
        <v>0</v>
      </c>
      <c r="F12" s="8">
        <v>0</v>
      </c>
      <c r="G12" s="12">
        <v>29</v>
      </c>
      <c r="H12" s="8">
        <v>0.71</v>
      </c>
      <c r="I12" s="12">
        <v>0</v>
      </c>
    </row>
    <row r="13" spans="2:9" ht="15" customHeight="1" x14ac:dyDescent="0.2">
      <c r="B13" t="s">
        <v>69</v>
      </c>
      <c r="C13" s="12">
        <v>1181</v>
      </c>
      <c r="D13" s="8">
        <v>17.829999999999998</v>
      </c>
      <c r="E13" s="12">
        <v>324</v>
      </c>
      <c r="F13" s="8">
        <v>13.04</v>
      </c>
      <c r="G13" s="12">
        <v>856</v>
      </c>
      <c r="H13" s="8">
        <v>20.91</v>
      </c>
      <c r="I13" s="12">
        <v>1</v>
      </c>
    </row>
    <row r="14" spans="2:9" ht="15" customHeight="1" x14ac:dyDescent="0.2">
      <c r="B14" t="s">
        <v>70</v>
      </c>
      <c r="C14" s="12">
        <v>403</v>
      </c>
      <c r="D14" s="8">
        <v>6.08</v>
      </c>
      <c r="E14" s="12">
        <v>138</v>
      </c>
      <c r="F14" s="8">
        <v>5.56</v>
      </c>
      <c r="G14" s="12">
        <v>264</v>
      </c>
      <c r="H14" s="8">
        <v>6.45</v>
      </c>
      <c r="I14" s="12">
        <v>0</v>
      </c>
    </row>
    <row r="15" spans="2:9" ht="15" customHeight="1" x14ac:dyDescent="0.2">
      <c r="B15" t="s">
        <v>71</v>
      </c>
      <c r="C15" s="12">
        <v>616</v>
      </c>
      <c r="D15" s="8">
        <v>9.3000000000000007</v>
      </c>
      <c r="E15" s="12">
        <v>437</v>
      </c>
      <c r="F15" s="8">
        <v>17.59</v>
      </c>
      <c r="G15" s="12">
        <v>179</v>
      </c>
      <c r="H15" s="8">
        <v>4.37</v>
      </c>
      <c r="I15" s="12">
        <v>0</v>
      </c>
    </row>
    <row r="16" spans="2:9" ht="15" customHeight="1" x14ac:dyDescent="0.2">
      <c r="B16" t="s">
        <v>72</v>
      </c>
      <c r="C16" s="12">
        <v>820</v>
      </c>
      <c r="D16" s="8">
        <v>12.38</v>
      </c>
      <c r="E16" s="12">
        <v>555</v>
      </c>
      <c r="F16" s="8">
        <v>22.34</v>
      </c>
      <c r="G16" s="12">
        <v>259</v>
      </c>
      <c r="H16" s="8">
        <v>6.33</v>
      </c>
      <c r="I16" s="12">
        <v>1</v>
      </c>
    </row>
    <row r="17" spans="2:9" ht="15" customHeight="1" x14ac:dyDescent="0.2">
      <c r="B17" t="s">
        <v>73</v>
      </c>
      <c r="C17" s="12">
        <v>251</v>
      </c>
      <c r="D17" s="8">
        <v>3.79</v>
      </c>
      <c r="E17" s="12">
        <v>150</v>
      </c>
      <c r="F17" s="8">
        <v>6.04</v>
      </c>
      <c r="G17" s="12">
        <v>95</v>
      </c>
      <c r="H17" s="8">
        <v>2.3199999999999998</v>
      </c>
      <c r="I17" s="12">
        <v>0</v>
      </c>
    </row>
    <row r="18" spans="2:9" ht="15" customHeight="1" x14ac:dyDescent="0.2">
      <c r="B18" t="s">
        <v>74</v>
      </c>
      <c r="C18" s="12">
        <v>411</v>
      </c>
      <c r="D18" s="8">
        <v>6.21</v>
      </c>
      <c r="E18" s="12">
        <v>246</v>
      </c>
      <c r="F18" s="8">
        <v>9.9</v>
      </c>
      <c r="G18" s="12">
        <v>142</v>
      </c>
      <c r="H18" s="8">
        <v>3.47</v>
      </c>
      <c r="I18" s="12">
        <v>0</v>
      </c>
    </row>
    <row r="19" spans="2:9" ht="15" customHeight="1" x14ac:dyDescent="0.2">
      <c r="B19" t="s">
        <v>75</v>
      </c>
      <c r="C19" s="12">
        <v>211</v>
      </c>
      <c r="D19" s="8">
        <v>3.19</v>
      </c>
      <c r="E19" s="12">
        <v>28</v>
      </c>
      <c r="F19" s="8">
        <v>1.1299999999999999</v>
      </c>
      <c r="G19" s="12">
        <v>175</v>
      </c>
      <c r="H19" s="8">
        <v>4.2699999999999996</v>
      </c>
      <c r="I19" s="12">
        <v>0</v>
      </c>
    </row>
    <row r="20" spans="2:9" ht="15" customHeight="1" x14ac:dyDescent="0.2">
      <c r="B20" s="9" t="s">
        <v>248</v>
      </c>
      <c r="C20" s="12">
        <f>SUM(LTBL_12203[総数／事業所数])</f>
        <v>6623</v>
      </c>
      <c r="E20" s="12">
        <f>SUBTOTAL(109,LTBL_12203[個人／事業所数])</f>
        <v>2484</v>
      </c>
      <c r="G20" s="12">
        <f>SUBTOTAL(109,LTBL_12203[法人／事業所数])</f>
        <v>4094</v>
      </c>
      <c r="I20" s="12">
        <f>SUBTOTAL(109,LTBL_12203[法人以外の団体／事業所数])</f>
        <v>2</v>
      </c>
    </row>
    <row r="21" spans="2:9" ht="15" customHeight="1" x14ac:dyDescent="0.2">
      <c r="E21" s="11">
        <f>LTBL_12203[[#Totals],[個人／事業所数]]/LTBL_12203[[#Totals],[総数／事業所数]]</f>
        <v>0.37505662086667674</v>
      </c>
      <c r="G21" s="11">
        <f>LTBL_12203[[#Totals],[法人／事業所数]]/LTBL_12203[[#Totals],[総数／事業所数]]</f>
        <v>0.61814887513211536</v>
      </c>
      <c r="I21" s="11">
        <f>LTBL_12203[[#Totals],[法人以外の団体／事業所数]]/LTBL_12203[[#Totals],[総数／事業所数]]</f>
        <v>3.0197795560924054E-4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94</v>
      </c>
      <c r="C24" s="12">
        <v>1006</v>
      </c>
      <c r="D24" s="8">
        <v>15.19</v>
      </c>
      <c r="E24" s="12">
        <v>314</v>
      </c>
      <c r="F24" s="8">
        <v>12.64</v>
      </c>
      <c r="G24" s="12">
        <v>691</v>
      </c>
      <c r="H24" s="8">
        <v>16.88</v>
      </c>
      <c r="I24" s="12">
        <v>1</v>
      </c>
    </row>
    <row r="25" spans="2:9" ht="15" customHeight="1" x14ac:dyDescent="0.2">
      <c r="B25" t="s">
        <v>98</v>
      </c>
      <c r="C25" s="12">
        <v>685</v>
      </c>
      <c r="D25" s="8">
        <v>10.34</v>
      </c>
      <c r="E25" s="12">
        <v>502</v>
      </c>
      <c r="F25" s="8">
        <v>20.21</v>
      </c>
      <c r="G25" s="12">
        <v>182</v>
      </c>
      <c r="H25" s="8">
        <v>4.45</v>
      </c>
      <c r="I25" s="12">
        <v>1</v>
      </c>
    </row>
    <row r="26" spans="2:9" ht="15" customHeight="1" x14ac:dyDescent="0.2">
      <c r="B26" t="s">
        <v>97</v>
      </c>
      <c r="C26" s="12">
        <v>532</v>
      </c>
      <c r="D26" s="8">
        <v>8.0299999999999994</v>
      </c>
      <c r="E26" s="12">
        <v>424</v>
      </c>
      <c r="F26" s="8">
        <v>17.07</v>
      </c>
      <c r="G26" s="12">
        <v>108</v>
      </c>
      <c r="H26" s="8">
        <v>2.64</v>
      </c>
      <c r="I26" s="12">
        <v>0</v>
      </c>
    </row>
    <row r="27" spans="2:9" ht="15" customHeight="1" x14ac:dyDescent="0.2">
      <c r="B27" t="s">
        <v>85</v>
      </c>
      <c r="C27" s="12">
        <v>329</v>
      </c>
      <c r="D27" s="8">
        <v>4.97</v>
      </c>
      <c r="E27" s="12">
        <v>44</v>
      </c>
      <c r="F27" s="8">
        <v>1.77</v>
      </c>
      <c r="G27" s="12">
        <v>285</v>
      </c>
      <c r="H27" s="8">
        <v>6.96</v>
      </c>
      <c r="I27" s="12">
        <v>0</v>
      </c>
    </row>
    <row r="28" spans="2:9" ht="15" customHeight="1" x14ac:dyDescent="0.2">
      <c r="B28" t="s">
        <v>92</v>
      </c>
      <c r="C28" s="12">
        <v>317</v>
      </c>
      <c r="D28" s="8">
        <v>4.79</v>
      </c>
      <c r="E28" s="12">
        <v>142</v>
      </c>
      <c r="F28" s="8">
        <v>5.72</v>
      </c>
      <c r="G28" s="12">
        <v>175</v>
      </c>
      <c r="H28" s="8">
        <v>4.2699999999999996</v>
      </c>
      <c r="I28" s="12">
        <v>0</v>
      </c>
    </row>
    <row r="29" spans="2:9" ht="15" customHeight="1" x14ac:dyDescent="0.2">
      <c r="B29" t="s">
        <v>84</v>
      </c>
      <c r="C29" s="12">
        <v>306</v>
      </c>
      <c r="D29" s="8">
        <v>4.62</v>
      </c>
      <c r="E29" s="12">
        <v>30</v>
      </c>
      <c r="F29" s="8">
        <v>1.21</v>
      </c>
      <c r="G29" s="12">
        <v>276</v>
      </c>
      <c r="H29" s="8">
        <v>6.74</v>
      </c>
      <c r="I29" s="12">
        <v>0</v>
      </c>
    </row>
    <row r="30" spans="2:9" ht="15" customHeight="1" x14ac:dyDescent="0.2">
      <c r="B30" t="s">
        <v>101</v>
      </c>
      <c r="C30" s="12">
        <v>303</v>
      </c>
      <c r="D30" s="8">
        <v>4.57</v>
      </c>
      <c r="E30" s="12">
        <v>246</v>
      </c>
      <c r="F30" s="8">
        <v>9.9</v>
      </c>
      <c r="G30" s="12">
        <v>57</v>
      </c>
      <c r="H30" s="8">
        <v>1.39</v>
      </c>
      <c r="I30" s="12">
        <v>0</v>
      </c>
    </row>
    <row r="31" spans="2:9" ht="15" customHeight="1" x14ac:dyDescent="0.2">
      <c r="B31" t="s">
        <v>95</v>
      </c>
      <c r="C31" s="12">
        <v>253</v>
      </c>
      <c r="D31" s="8">
        <v>3.82</v>
      </c>
      <c r="E31" s="12">
        <v>101</v>
      </c>
      <c r="F31" s="8">
        <v>4.07</v>
      </c>
      <c r="G31" s="12">
        <v>152</v>
      </c>
      <c r="H31" s="8">
        <v>3.71</v>
      </c>
      <c r="I31" s="12">
        <v>0</v>
      </c>
    </row>
    <row r="32" spans="2:9" ht="15" customHeight="1" x14ac:dyDescent="0.2">
      <c r="B32" t="s">
        <v>100</v>
      </c>
      <c r="C32" s="12">
        <v>251</v>
      </c>
      <c r="D32" s="8">
        <v>3.79</v>
      </c>
      <c r="E32" s="12">
        <v>150</v>
      </c>
      <c r="F32" s="8">
        <v>6.04</v>
      </c>
      <c r="G32" s="12">
        <v>95</v>
      </c>
      <c r="H32" s="8">
        <v>2.3199999999999998</v>
      </c>
      <c r="I32" s="12">
        <v>0</v>
      </c>
    </row>
    <row r="33" spans="2:9" ht="15" customHeight="1" x14ac:dyDescent="0.2">
      <c r="B33" t="s">
        <v>90</v>
      </c>
      <c r="C33" s="12">
        <v>232</v>
      </c>
      <c r="D33" s="8">
        <v>3.5</v>
      </c>
      <c r="E33" s="12">
        <v>138</v>
      </c>
      <c r="F33" s="8">
        <v>5.56</v>
      </c>
      <c r="G33" s="12">
        <v>94</v>
      </c>
      <c r="H33" s="8">
        <v>2.2999999999999998</v>
      </c>
      <c r="I33" s="12">
        <v>0</v>
      </c>
    </row>
    <row r="34" spans="2:9" ht="15" customHeight="1" x14ac:dyDescent="0.2">
      <c r="B34" t="s">
        <v>86</v>
      </c>
      <c r="C34" s="12">
        <v>205</v>
      </c>
      <c r="D34" s="8">
        <v>3.1</v>
      </c>
      <c r="E34" s="12">
        <v>18</v>
      </c>
      <c r="F34" s="8">
        <v>0.72</v>
      </c>
      <c r="G34" s="12">
        <v>187</v>
      </c>
      <c r="H34" s="8">
        <v>4.57</v>
      </c>
      <c r="I34" s="12">
        <v>0</v>
      </c>
    </row>
    <row r="35" spans="2:9" ht="15" customHeight="1" x14ac:dyDescent="0.2">
      <c r="B35" t="s">
        <v>89</v>
      </c>
      <c r="C35" s="12">
        <v>154</v>
      </c>
      <c r="D35" s="8">
        <v>2.33</v>
      </c>
      <c r="E35" s="12">
        <v>62</v>
      </c>
      <c r="F35" s="8">
        <v>2.5</v>
      </c>
      <c r="G35" s="12">
        <v>92</v>
      </c>
      <c r="H35" s="8">
        <v>2.25</v>
      </c>
      <c r="I35" s="12">
        <v>0</v>
      </c>
    </row>
    <row r="36" spans="2:9" ht="15" customHeight="1" x14ac:dyDescent="0.2">
      <c r="B36" t="s">
        <v>91</v>
      </c>
      <c r="C36" s="12">
        <v>151</v>
      </c>
      <c r="D36" s="8">
        <v>2.2799999999999998</v>
      </c>
      <c r="E36" s="12">
        <v>56</v>
      </c>
      <c r="F36" s="8">
        <v>2.25</v>
      </c>
      <c r="G36" s="12">
        <v>95</v>
      </c>
      <c r="H36" s="8">
        <v>2.3199999999999998</v>
      </c>
      <c r="I36" s="12">
        <v>0</v>
      </c>
    </row>
    <row r="37" spans="2:9" ht="15" customHeight="1" x14ac:dyDescent="0.2">
      <c r="B37" t="s">
        <v>93</v>
      </c>
      <c r="C37" s="12">
        <v>142</v>
      </c>
      <c r="D37" s="8">
        <v>2.14</v>
      </c>
      <c r="E37" s="12">
        <v>4</v>
      </c>
      <c r="F37" s="8">
        <v>0.16</v>
      </c>
      <c r="G37" s="12">
        <v>138</v>
      </c>
      <c r="H37" s="8">
        <v>3.37</v>
      </c>
      <c r="I37" s="12">
        <v>0</v>
      </c>
    </row>
    <row r="38" spans="2:9" ht="15" customHeight="1" x14ac:dyDescent="0.2">
      <c r="B38" t="s">
        <v>96</v>
      </c>
      <c r="C38" s="12">
        <v>125</v>
      </c>
      <c r="D38" s="8">
        <v>1.89</v>
      </c>
      <c r="E38" s="12">
        <v>37</v>
      </c>
      <c r="F38" s="8">
        <v>1.49</v>
      </c>
      <c r="G38" s="12">
        <v>87</v>
      </c>
      <c r="H38" s="8">
        <v>2.13</v>
      </c>
      <c r="I38" s="12">
        <v>0</v>
      </c>
    </row>
    <row r="39" spans="2:9" ht="15" customHeight="1" x14ac:dyDescent="0.2">
      <c r="B39" t="s">
        <v>102</v>
      </c>
      <c r="C39" s="12">
        <v>108</v>
      </c>
      <c r="D39" s="8">
        <v>1.63</v>
      </c>
      <c r="E39" s="12">
        <v>0</v>
      </c>
      <c r="F39" s="8">
        <v>0</v>
      </c>
      <c r="G39" s="12">
        <v>85</v>
      </c>
      <c r="H39" s="8">
        <v>2.08</v>
      </c>
      <c r="I39" s="12">
        <v>0</v>
      </c>
    </row>
    <row r="40" spans="2:9" ht="15" customHeight="1" x14ac:dyDescent="0.2">
      <c r="B40" t="s">
        <v>104</v>
      </c>
      <c r="C40" s="12">
        <v>97</v>
      </c>
      <c r="D40" s="8">
        <v>1.46</v>
      </c>
      <c r="E40" s="12">
        <v>6</v>
      </c>
      <c r="F40" s="8">
        <v>0.24</v>
      </c>
      <c r="G40" s="12">
        <v>91</v>
      </c>
      <c r="H40" s="8">
        <v>2.2200000000000002</v>
      </c>
      <c r="I40" s="12">
        <v>0</v>
      </c>
    </row>
    <row r="41" spans="2:9" ht="15" customHeight="1" x14ac:dyDescent="0.2">
      <c r="B41" t="s">
        <v>87</v>
      </c>
      <c r="C41" s="12">
        <v>96</v>
      </c>
      <c r="D41" s="8">
        <v>1.45</v>
      </c>
      <c r="E41" s="12">
        <v>8</v>
      </c>
      <c r="F41" s="8">
        <v>0.32</v>
      </c>
      <c r="G41" s="12">
        <v>88</v>
      </c>
      <c r="H41" s="8">
        <v>2.15</v>
      </c>
      <c r="I41" s="12">
        <v>0</v>
      </c>
    </row>
    <row r="42" spans="2:9" ht="15" customHeight="1" x14ac:dyDescent="0.2">
      <c r="B42" t="s">
        <v>105</v>
      </c>
      <c r="C42" s="12">
        <v>95</v>
      </c>
      <c r="D42" s="8">
        <v>1.43</v>
      </c>
      <c r="E42" s="12">
        <v>5</v>
      </c>
      <c r="F42" s="8">
        <v>0.2</v>
      </c>
      <c r="G42" s="12">
        <v>90</v>
      </c>
      <c r="H42" s="8">
        <v>2.2000000000000002</v>
      </c>
      <c r="I42" s="12">
        <v>0</v>
      </c>
    </row>
    <row r="43" spans="2:9" ht="15" customHeight="1" x14ac:dyDescent="0.2">
      <c r="B43" t="s">
        <v>88</v>
      </c>
      <c r="C43" s="12">
        <v>81</v>
      </c>
      <c r="D43" s="8">
        <v>1.22</v>
      </c>
      <c r="E43" s="12">
        <v>5</v>
      </c>
      <c r="F43" s="8">
        <v>0.2</v>
      </c>
      <c r="G43" s="12">
        <v>76</v>
      </c>
      <c r="H43" s="8">
        <v>1.86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158</v>
      </c>
      <c r="C47" s="12">
        <v>641</v>
      </c>
      <c r="D47" s="8">
        <v>9.68</v>
      </c>
      <c r="E47" s="12">
        <v>265</v>
      </c>
      <c r="F47" s="8">
        <v>10.67</v>
      </c>
      <c r="G47" s="12">
        <v>376</v>
      </c>
      <c r="H47" s="8">
        <v>9.18</v>
      </c>
      <c r="I47" s="12">
        <v>0</v>
      </c>
    </row>
    <row r="48" spans="2:9" ht="15" customHeight="1" x14ac:dyDescent="0.2">
      <c r="B48" t="s">
        <v>164</v>
      </c>
      <c r="C48" s="12">
        <v>325</v>
      </c>
      <c r="D48" s="8">
        <v>4.91</v>
      </c>
      <c r="E48" s="12">
        <v>256</v>
      </c>
      <c r="F48" s="8">
        <v>10.31</v>
      </c>
      <c r="G48" s="12">
        <v>69</v>
      </c>
      <c r="H48" s="8">
        <v>1.69</v>
      </c>
      <c r="I48" s="12">
        <v>0</v>
      </c>
    </row>
    <row r="49" spans="2:9" ht="15" customHeight="1" x14ac:dyDescent="0.2">
      <c r="B49" t="s">
        <v>159</v>
      </c>
      <c r="C49" s="12">
        <v>225</v>
      </c>
      <c r="D49" s="8">
        <v>3.4</v>
      </c>
      <c r="E49" s="12">
        <v>8</v>
      </c>
      <c r="F49" s="8">
        <v>0.32</v>
      </c>
      <c r="G49" s="12">
        <v>216</v>
      </c>
      <c r="H49" s="8">
        <v>5.28</v>
      </c>
      <c r="I49" s="12">
        <v>1</v>
      </c>
    </row>
    <row r="50" spans="2:9" ht="15" customHeight="1" x14ac:dyDescent="0.2">
      <c r="B50" t="s">
        <v>166</v>
      </c>
      <c r="C50" s="12">
        <v>192</v>
      </c>
      <c r="D50" s="8">
        <v>2.9</v>
      </c>
      <c r="E50" s="12">
        <v>149</v>
      </c>
      <c r="F50" s="8">
        <v>6</v>
      </c>
      <c r="G50" s="12">
        <v>43</v>
      </c>
      <c r="H50" s="8">
        <v>1.05</v>
      </c>
      <c r="I50" s="12">
        <v>0</v>
      </c>
    </row>
    <row r="51" spans="2:9" ht="15" customHeight="1" x14ac:dyDescent="0.2">
      <c r="B51" t="s">
        <v>161</v>
      </c>
      <c r="C51" s="12">
        <v>189</v>
      </c>
      <c r="D51" s="8">
        <v>2.85</v>
      </c>
      <c r="E51" s="12">
        <v>140</v>
      </c>
      <c r="F51" s="8">
        <v>5.64</v>
      </c>
      <c r="G51" s="12">
        <v>49</v>
      </c>
      <c r="H51" s="8">
        <v>1.2</v>
      </c>
      <c r="I51" s="12">
        <v>0</v>
      </c>
    </row>
    <row r="52" spans="2:9" ht="15" customHeight="1" x14ac:dyDescent="0.2">
      <c r="B52" t="s">
        <v>163</v>
      </c>
      <c r="C52" s="12">
        <v>186</v>
      </c>
      <c r="D52" s="8">
        <v>2.81</v>
      </c>
      <c r="E52" s="12">
        <v>162</v>
      </c>
      <c r="F52" s="8">
        <v>6.52</v>
      </c>
      <c r="G52" s="12">
        <v>24</v>
      </c>
      <c r="H52" s="8">
        <v>0.59</v>
      </c>
      <c r="I52" s="12">
        <v>0</v>
      </c>
    </row>
    <row r="53" spans="2:9" ht="15" customHeight="1" x14ac:dyDescent="0.2">
      <c r="B53" t="s">
        <v>165</v>
      </c>
      <c r="C53" s="12">
        <v>154</v>
      </c>
      <c r="D53" s="8">
        <v>2.33</v>
      </c>
      <c r="E53" s="12">
        <v>102</v>
      </c>
      <c r="F53" s="8">
        <v>4.1100000000000003</v>
      </c>
      <c r="G53" s="12">
        <v>52</v>
      </c>
      <c r="H53" s="8">
        <v>1.27</v>
      </c>
      <c r="I53" s="12">
        <v>0</v>
      </c>
    </row>
    <row r="54" spans="2:9" ht="15" customHeight="1" x14ac:dyDescent="0.2">
      <c r="B54" t="s">
        <v>156</v>
      </c>
      <c r="C54" s="12">
        <v>126</v>
      </c>
      <c r="D54" s="8">
        <v>1.9</v>
      </c>
      <c r="E54" s="12">
        <v>72</v>
      </c>
      <c r="F54" s="8">
        <v>2.9</v>
      </c>
      <c r="G54" s="12">
        <v>54</v>
      </c>
      <c r="H54" s="8">
        <v>1.32</v>
      </c>
      <c r="I54" s="12">
        <v>0</v>
      </c>
    </row>
    <row r="55" spans="2:9" ht="15" customHeight="1" x14ac:dyDescent="0.2">
      <c r="B55" t="s">
        <v>162</v>
      </c>
      <c r="C55" s="12">
        <v>119</v>
      </c>
      <c r="D55" s="8">
        <v>1.8</v>
      </c>
      <c r="E55" s="12">
        <v>107</v>
      </c>
      <c r="F55" s="8">
        <v>4.3099999999999996</v>
      </c>
      <c r="G55" s="12">
        <v>12</v>
      </c>
      <c r="H55" s="8">
        <v>0.28999999999999998</v>
      </c>
      <c r="I55" s="12">
        <v>0</v>
      </c>
    </row>
    <row r="56" spans="2:9" ht="15" customHeight="1" x14ac:dyDescent="0.2">
      <c r="B56" t="s">
        <v>169</v>
      </c>
      <c r="C56" s="12">
        <v>116</v>
      </c>
      <c r="D56" s="8">
        <v>1.75</v>
      </c>
      <c r="E56" s="12">
        <v>53</v>
      </c>
      <c r="F56" s="8">
        <v>2.13</v>
      </c>
      <c r="G56" s="12">
        <v>63</v>
      </c>
      <c r="H56" s="8">
        <v>1.54</v>
      </c>
      <c r="I56" s="12">
        <v>0</v>
      </c>
    </row>
    <row r="57" spans="2:9" ht="15" customHeight="1" x14ac:dyDescent="0.2">
      <c r="B57" t="s">
        <v>171</v>
      </c>
      <c r="C57" s="12">
        <v>103</v>
      </c>
      <c r="D57" s="8">
        <v>1.56</v>
      </c>
      <c r="E57" s="12">
        <v>4</v>
      </c>
      <c r="F57" s="8">
        <v>0.16</v>
      </c>
      <c r="G57" s="12">
        <v>99</v>
      </c>
      <c r="H57" s="8">
        <v>2.42</v>
      </c>
      <c r="I57" s="12">
        <v>0</v>
      </c>
    </row>
    <row r="58" spans="2:9" ht="15" customHeight="1" x14ac:dyDescent="0.2">
      <c r="B58" t="s">
        <v>170</v>
      </c>
      <c r="C58" s="12">
        <v>103</v>
      </c>
      <c r="D58" s="8">
        <v>1.56</v>
      </c>
      <c r="E58" s="12">
        <v>95</v>
      </c>
      <c r="F58" s="8">
        <v>3.82</v>
      </c>
      <c r="G58" s="12">
        <v>8</v>
      </c>
      <c r="H58" s="8">
        <v>0.2</v>
      </c>
      <c r="I58" s="12">
        <v>0</v>
      </c>
    </row>
    <row r="59" spans="2:9" ht="15" customHeight="1" x14ac:dyDescent="0.2">
      <c r="B59" t="s">
        <v>157</v>
      </c>
      <c r="C59" s="12">
        <v>100</v>
      </c>
      <c r="D59" s="8">
        <v>1.51</v>
      </c>
      <c r="E59" s="12">
        <v>20</v>
      </c>
      <c r="F59" s="8">
        <v>0.81</v>
      </c>
      <c r="G59" s="12">
        <v>80</v>
      </c>
      <c r="H59" s="8">
        <v>1.95</v>
      </c>
      <c r="I59" s="12">
        <v>0</v>
      </c>
    </row>
    <row r="60" spans="2:9" ht="15" customHeight="1" x14ac:dyDescent="0.2">
      <c r="B60" t="s">
        <v>151</v>
      </c>
      <c r="C60" s="12">
        <v>98</v>
      </c>
      <c r="D60" s="8">
        <v>1.48</v>
      </c>
      <c r="E60" s="12">
        <v>10</v>
      </c>
      <c r="F60" s="8">
        <v>0.4</v>
      </c>
      <c r="G60" s="12">
        <v>88</v>
      </c>
      <c r="H60" s="8">
        <v>2.15</v>
      </c>
      <c r="I60" s="12">
        <v>0</v>
      </c>
    </row>
    <row r="61" spans="2:9" ht="15" customHeight="1" x14ac:dyDescent="0.2">
      <c r="B61" t="s">
        <v>154</v>
      </c>
      <c r="C61" s="12">
        <v>96</v>
      </c>
      <c r="D61" s="8">
        <v>1.45</v>
      </c>
      <c r="E61" s="12">
        <v>61</v>
      </c>
      <c r="F61" s="8">
        <v>2.46</v>
      </c>
      <c r="G61" s="12">
        <v>35</v>
      </c>
      <c r="H61" s="8">
        <v>0.85</v>
      </c>
      <c r="I61" s="12">
        <v>0</v>
      </c>
    </row>
    <row r="62" spans="2:9" ht="15" customHeight="1" x14ac:dyDescent="0.2">
      <c r="B62" t="s">
        <v>176</v>
      </c>
      <c r="C62" s="12">
        <v>81</v>
      </c>
      <c r="D62" s="8">
        <v>1.22</v>
      </c>
      <c r="E62" s="12">
        <v>13</v>
      </c>
      <c r="F62" s="8">
        <v>0.52</v>
      </c>
      <c r="G62" s="12">
        <v>68</v>
      </c>
      <c r="H62" s="8">
        <v>1.66</v>
      </c>
      <c r="I62" s="12">
        <v>0</v>
      </c>
    </row>
    <row r="63" spans="2:9" ht="15" customHeight="1" x14ac:dyDescent="0.2">
      <c r="B63" t="s">
        <v>178</v>
      </c>
      <c r="C63" s="12">
        <v>81</v>
      </c>
      <c r="D63" s="8">
        <v>1.22</v>
      </c>
      <c r="E63" s="12">
        <v>2</v>
      </c>
      <c r="F63" s="8">
        <v>0.08</v>
      </c>
      <c r="G63" s="12">
        <v>79</v>
      </c>
      <c r="H63" s="8">
        <v>1.93</v>
      </c>
      <c r="I63" s="12">
        <v>0</v>
      </c>
    </row>
    <row r="64" spans="2:9" ht="15" customHeight="1" x14ac:dyDescent="0.2">
      <c r="B64" t="s">
        <v>152</v>
      </c>
      <c r="C64" s="12">
        <v>79</v>
      </c>
      <c r="D64" s="8">
        <v>1.19</v>
      </c>
      <c r="E64" s="12">
        <v>12</v>
      </c>
      <c r="F64" s="8">
        <v>0.48</v>
      </c>
      <c r="G64" s="12">
        <v>67</v>
      </c>
      <c r="H64" s="8">
        <v>1.64</v>
      </c>
      <c r="I64" s="12">
        <v>0</v>
      </c>
    </row>
    <row r="65" spans="2:9" ht="15" customHeight="1" x14ac:dyDescent="0.2">
      <c r="B65" t="s">
        <v>149</v>
      </c>
      <c r="C65" s="12">
        <v>78</v>
      </c>
      <c r="D65" s="8">
        <v>1.18</v>
      </c>
      <c r="E65" s="12">
        <v>5</v>
      </c>
      <c r="F65" s="8">
        <v>0.2</v>
      </c>
      <c r="G65" s="12">
        <v>73</v>
      </c>
      <c r="H65" s="8">
        <v>1.78</v>
      </c>
      <c r="I65" s="12">
        <v>0</v>
      </c>
    </row>
    <row r="66" spans="2:9" ht="15" customHeight="1" x14ac:dyDescent="0.2">
      <c r="B66" t="s">
        <v>153</v>
      </c>
      <c r="C66" s="12">
        <v>77</v>
      </c>
      <c r="D66" s="8">
        <v>1.1599999999999999</v>
      </c>
      <c r="E66" s="12">
        <v>5</v>
      </c>
      <c r="F66" s="8">
        <v>0.2</v>
      </c>
      <c r="G66" s="12">
        <v>72</v>
      </c>
      <c r="H66" s="8">
        <v>1.76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7F408-EA6D-4E53-9B3D-3D622EE7127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261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1078</v>
      </c>
      <c r="D6" s="8">
        <v>13.34</v>
      </c>
      <c r="E6" s="12">
        <v>132</v>
      </c>
      <c r="F6" s="8">
        <v>4.4400000000000004</v>
      </c>
      <c r="G6" s="12">
        <v>946</v>
      </c>
      <c r="H6" s="8">
        <v>18.8</v>
      </c>
      <c r="I6" s="12">
        <v>0</v>
      </c>
    </row>
    <row r="7" spans="2:9" ht="15" customHeight="1" x14ac:dyDescent="0.2">
      <c r="B7" t="s">
        <v>63</v>
      </c>
      <c r="C7" s="12">
        <v>420</v>
      </c>
      <c r="D7" s="8">
        <v>5.2</v>
      </c>
      <c r="E7" s="12">
        <v>77</v>
      </c>
      <c r="F7" s="8">
        <v>2.59</v>
      </c>
      <c r="G7" s="12">
        <v>343</v>
      </c>
      <c r="H7" s="8">
        <v>6.82</v>
      </c>
      <c r="I7" s="12">
        <v>0</v>
      </c>
    </row>
    <row r="8" spans="2:9" ht="15" customHeight="1" x14ac:dyDescent="0.2">
      <c r="B8" t="s">
        <v>64</v>
      </c>
      <c r="C8" s="12">
        <v>8</v>
      </c>
      <c r="D8" s="8">
        <v>0.1</v>
      </c>
      <c r="E8" s="12">
        <v>0</v>
      </c>
      <c r="F8" s="8">
        <v>0</v>
      </c>
      <c r="G8" s="12">
        <v>6</v>
      </c>
      <c r="H8" s="8">
        <v>0.12</v>
      </c>
      <c r="I8" s="12">
        <v>0</v>
      </c>
    </row>
    <row r="9" spans="2:9" ht="15" customHeight="1" x14ac:dyDescent="0.2">
      <c r="B9" t="s">
        <v>65</v>
      </c>
      <c r="C9" s="12">
        <v>148</v>
      </c>
      <c r="D9" s="8">
        <v>1.83</v>
      </c>
      <c r="E9" s="12">
        <v>5</v>
      </c>
      <c r="F9" s="8">
        <v>0.17</v>
      </c>
      <c r="G9" s="12">
        <v>143</v>
      </c>
      <c r="H9" s="8">
        <v>2.84</v>
      </c>
      <c r="I9" s="12">
        <v>0</v>
      </c>
    </row>
    <row r="10" spans="2:9" ht="15" customHeight="1" x14ac:dyDescent="0.2">
      <c r="B10" t="s">
        <v>66</v>
      </c>
      <c r="C10" s="12">
        <v>119</v>
      </c>
      <c r="D10" s="8">
        <v>1.47</v>
      </c>
      <c r="E10" s="12">
        <v>17</v>
      </c>
      <c r="F10" s="8">
        <v>0.56999999999999995</v>
      </c>
      <c r="G10" s="12">
        <v>102</v>
      </c>
      <c r="H10" s="8">
        <v>2.0299999999999998</v>
      </c>
      <c r="I10" s="12">
        <v>0</v>
      </c>
    </row>
    <row r="11" spans="2:9" ht="15" customHeight="1" x14ac:dyDescent="0.2">
      <c r="B11" t="s">
        <v>67</v>
      </c>
      <c r="C11" s="12">
        <v>1576</v>
      </c>
      <c r="D11" s="8">
        <v>19.5</v>
      </c>
      <c r="E11" s="12">
        <v>463</v>
      </c>
      <c r="F11" s="8">
        <v>15.59</v>
      </c>
      <c r="G11" s="12">
        <v>1113</v>
      </c>
      <c r="H11" s="8">
        <v>22.12</v>
      </c>
      <c r="I11" s="12">
        <v>0</v>
      </c>
    </row>
    <row r="12" spans="2:9" ht="15" customHeight="1" x14ac:dyDescent="0.2">
      <c r="B12" t="s">
        <v>68</v>
      </c>
      <c r="C12" s="12">
        <v>57</v>
      </c>
      <c r="D12" s="8">
        <v>0.71</v>
      </c>
      <c r="E12" s="12">
        <v>6</v>
      </c>
      <c r="F12" s="8">
        <v>0.2</v>
      </c>
      <c r="G12" s="12">
        <v>51</v>
      </c>
      <c r="H12" s="8">
        <v>1.01</v>
      </c>
      <c r="I12" s="12">
        <v>0</v>
      </c>
    </row>
    <row r="13" spans="2:9" ht="15" customHeight="1" x14ac:dyDescent="0.2">
      <c r="B13" t="s">
        <v>69</v>
      </c>
      <c r="C13" s="12">
        <v>962</v>
      </c>
      <c r="D13" s="8">
        <v>11.9</v>
      </c>
      <c r="E13" s="12">
        <v>123</v>
      </c>
      <c r="F13" s="8">
        <v>4.1399999999999997</v>
      </c>
      <c r="G13" s="12">
        <v>836</v>
      </c>
      <c r="H13" s="8">
        <v>16.61</v>
      </c>
      <c r="I13" s="12">
        <v>3</v>
      </c>
    </row>
    <row r="14" spans="2:9" ht="15" customHeight="1" x14ac:dyDescent="0.2">
      <c r="B14" t="s">
        <v>70</v>
      </c>
      <c r="C14" s="12">
        <v>571</v>
      </c>
      <c r="D14" s="8">
        <v>7.06</v>
      </c>
      <c r="E14" s="12">
        <v>207</v>
      </c>
      <c r="F14" s="8">
        <v>6.97</v>
      </c>
      <c r="G14" s="12">
        <v>362</v>
      </c>
      <c r="H14" s="8">
        <v>7.19</v>
      </c>
      <c r="I14" s="12">
        <v>0</v>
      </c>
    </row>
    <row r="15" spans="2:9" ht="15" customHeight="1" x14ac:dyDescent="0.2">
      <c r="B15" t="s">
        <v>71</v>
      </c>
      <c r="C15" s="12">
        <v>880</v>
      </c>
      <c r="D15" s="8">
        <v>10.89</v>
      </c>
      <c r="E15" s="12">
        <v>667</v>
      </c>
      <c r="F15" s="8">
        <v>22.46</v>
      </c>
      <c r="G15" s="12">
        <v>213</v>
      </c>
      <c r="H15" s="8">
        <v>4.2300000000000004</v>
      </c>
      <c r="I15" s="12">
        <v>0</v>
      </c>
    </row>
    <row r="16" spans="2:9" ht="15" customHeight="1" x14ac:dyDescent="0.2">
      <c r="B16" t="s">
        <v>72</v>
      </c>
      <c r="C16" s="12">
        <v>1135</v>
      </c>
      <c r="D16" s="8">
        <v>14.04</v>
      </c>
      <c r="E16" s="12">
        <v>721</v>
      </c>
      <c r="F16" s="8">
        <v>24.28</v>
      </c>
      <c r="G16" s="12">
        <v>354</v>
      </c>
      <c r="H16" s="8">
        <v>7.03</v>
      </c>
      <c r="I16" s="12">
        <v>2</v>
      </c>
    </row>
    <row r="17" spans="2:9" ht="15" customHeight="1" x14ac:dyDescent="0.2">
      <c r="B17" t="s">
        <v>73</v>
      </c>
      <c r="C17" s="12">
        <v>335</v>
      </c>
      <c r="D17" s="8">
        <v>4.1399999999999997</v>
      </c>
      <c r="E17" s="12">
        <v>190</v>
      </c>
      <c r="F17" s="8">
        <v>6.4</v>
      </c>
      <c r="G17" s="12">
        <v>142</v>
      </c>
      <c r="H17" s="8">
        <v>2.82</v>
      </c>
      <c r="I17" s="12">
        <v>1</v>
      </c>
    </row>
    <row r="18" spans="2:9" ht="15" customHeight="1" x14ac:dyDescent="0.2">
      <c r="B18" t="s">
        <v>74</v>
      </c>
      <c r="C18" s="12">
        <v>501</v>
      </c>
      <c r="D18" s="8">
        <v>6.2</v>
      </c>
      <c r="E18" s="12">
        <v>317</v>
      </c>
      <c r="F18" s="8">
        <v>10.67</v>
      </c>
      <c r="G18" s="12">
        <v>175</v>
      </c>
      <c r="H18" s="8">
        <v>3.48</v>
      </c>
      <c r="I18" s="12">
        <v>0</v>
      </c>
    </row>
    <row r="19" spans="2:9" ht="15" customHeight="1" x14ac:dyDescent="0.2">
      <c r="B19" t="s">
        <v>75</v>
      </c>
      <c r="C19" s="12">
        <v>293</v>
      </c>
      <c r="D19" s="8">
        <v>3.62</v>
      </c>
      <c r="E19" s="12">
        <v>45</v>
      </c>
      <c r="F19" s="8">
        <v>1.52</v>
      </c>
      <c r="G19" s="12">
        <v>246</v>
      </c>
      <c r="H19" s="8">
        <v>4.8899999999999997</v>
      </c>
      <c r="I19" s="12">
        <v>0</v>
      </c>
    </row>
    <row r="20" spans="2:9" ht="15" customHeight="1" x14ac:dyDescent="0.2">
      <c r="B20" s="9" t="s">
        <v>248</v>
      </c>
      <c r="C20" s="12">
        <f>SUM(LTBL_12204[総数／事業所数])</f>
        <v>8083</v>
      </c>
      <c r="E20" s="12">
        <f>SUBTOTAL(109,LTBL_12204[個人／事業所数])</f>
        <v>2970</v>
      </c>
      <c r="G20" s="12">
        <f>SUBTOTAL(109,LTBL_12204[法人／事業所数])</f>
        <v>5032</v>
      </c>
      <c r="I20" s="12">
        <f>SUBTOTAL(109,LTBL_12204[法人以外の団体／事業所数])</f>
        <v>6</v>
      </c>
    </row>
    <row r="21" spans="2:9" ht="15" customHeight="1" x14ac:dyDescent="0.2">
      <c r="E21" s="11">
        <f>LTBL_12204[[#Totals],[個人／事業所数]]/LTBL_12204[[#Totals],[総数／事業所数]]</f>
        <v>0.36743783248793765</v>
      </c>
      <c r="G21" s="11">
        <f>LTBL_12204[[#Totals],[法人／事業所数]]/LTBL_12204[[#Totals],[総数／事業所数]]</f>
        <v>0.62254113571693681</v>
      </c>
      <c r="I21" s="11">
        <f>LTBL_12204[[#Totals],[法人以外の団体／事業所数]]/LTBL_12204[[#Totals],[総数／事業所数]]</f>
        <v>7.4229865149078316E-4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899</v>
      </c>
      <c r="D24" s="8">
        <v>11.12</v>
      </c>
      <c r="E24" s="12">
        <v>655</v>
      </c>
      <c r="F24" s="8">
        <v>22.05</v>
      </c>
      <c r="G24" s="12">
        <v>243</v>
      </c>
      <c r="H24" s="8">
        <v>4.83</v>
      </c>
      <c r="I24" s="12">
        <v>1</v>
      </c>
    </row>
    <row r="25" spans="2:9" ht="15" customHeight="1" x14ac:dyDescent="0.2">
      <c r="B25" t="s">
        <v>97</v>
      </c>
      <c r="C25" s="12">
        <v>817</v>
      </c>
      <c r="D25" s="8">
        <v>10.11</v>
      </c>
      <c r="E25" s="12">
        <v>652</v>
      </c>
      <c r="F25" s="8">
        <v>21.95</v>
      </c>
      <c r="G25" s="12">
        <v>165</v>
      </c>
      <c r="H25" s="8">
        <v>3.28</v>
      </c>
      <c r="I25" s="12">
        <v>0</v>
      </c>
    </row>
    <row r="26" spans="2:9" ht="15" customHeight="1" x14ac:dyDescent="0.2">
      <c r="B26" t="s">
        <v>94</v>
      </c>
      <c r="C26" s="12">
        <v>754</v>
      </c>
      <c r="D26" s="8">
        <v>9.33</v>
      </c>
      <c r="E26" s="12">
        <v>119</v>
      </c>
      <c r="F26" s="8">
        <v>4.01</v>
      </c>
      <c r="G26" s="12">
        <v>633</v>
      </c>
      <c r="H26" s="8">
        <v>12.58</v>
      </c>
      <c r="I26" s="12">
        <v>2</v>
      </c>
    </row>
    <row r="27" spans="2:9" ht="15" customHeight="1" x14ac:dyDescent="0.2">
      <c r="B27" t="s">
        <v>101</v>
      </c>
      <c r="C27" s="12">
        <v>408</v>
      </c>
      <c r="D27" s="8">
        <v>5.05</v>
      </c>
      <c r="E27" s="12">
        <v>316</v>
      </c>
      <c r="F27" s="8">
        <v>10.64</v>
      </c>
      <c r="G27" s="12">
        <v>92</v>
      </c>
      <c r="H27" s="8">
        <v>1.83</v>
      </c>
      <c r="I27" s="12">
        <v>0</v>
      </c>
    </row>
    <row r="28" spans="2:9" ht="15" customHeight="1" x14ac:dyDescent="0.2">
      <c r="B28" t="s">
        <v>85</v>
      </c>
      <c r="C28" s="12">
        <v>405</v>
      </c>
      <c r="D28" s="8">
        <v>5.01</v>
      </c>
      <c r="E28" s="12">
        <v>81</v>
      </c>
      <c r="F28" s="8">
        <v>2.73</v>
      </c>
      <c r="G28" s="12">
        <v>324</v>
      </c>
      <c r="H28" s="8">
        <v>6.44</v>
      </c>
      <c r="I28" s="12">
        <v>0</v>
      </c>
    </row>
    <row r="29" spans="2:9" ht="15" customHeight="1" x14ac:dyDescent="0.2">
      <c r="B29" t="s">
        <v>84</v>
      </c>
      <c r="C29" s="12">
        <v>389</v>
      </c>
      <c r="D29" s="8">
        <v>4.8099999999999996</v>
      </c>
      <c r="E29" s="12">
        <v>32</v>
      </c>
      <c r="F29" s="8">
        <v>1.08</v>
      </c>
      <c r="G29" s="12">
        <v>357</v>
      </c>
      <c r="H29" s="8">
        <v>7.09</v>
      </c>
      <c r="I29" s="12">
        <v>0</v>
      </c>
    </row>
    <row r="30" spans="2:9" ht="15" customHeight="1" x14ac:dyDescent="0.2">
      <c r="B30" t="s">
        <v>92</v>
      </c>
      <c r="C30" s="12">
        <v>384</v>
      </c>
      <c r="D30" s="8">
        <v>4.75</v>
      </c>
      <c r="E30" s="12">
        <v>156</v>
      </c>
      <c r="F30" s="8">
        <v>5.25</v>
      </c>
      <c r="G30" s="12">
        <v>228</v>
      </c>
      <c r="H30" s="8">
        <v>4.53</v>
      </c>
      <c r="I30" s="12">
        <v>0</v>
      </c>
    </row>
    <row r="31" spans="2:9" ht="15" customHeight="1" x14ac:dyDescent="0.2">
      <c r="B31" t="s">
        <v>100</v>
      </c>
      <c r="C31" s="12">
        <v>335</v>
      </c>
      <c r="D31" s="8">
        <v>4.1399999999999997</v>
      </c>
      <c r="E31" s="12">
        <v>190</v>
      </c>
      <c r="F31" s="8">
        <v>6.4</v>
      </c>
      <c r="G31" s="12">
        <v>142</v>
      </c>
      <c r="H31" s="8">
        <v>2.82</v>
      </c>
      <c r="I31" s="12">
        <v>1</v>
      </c>
    </row>
    <row r="32" spans="2:9" ht="15" customHeight="1" x14ac:dyDescent="0.2">
      <c r="B32" t="s">
        <v>95</v>
      </c>
      <c r="C32" s="12">
        <v>317</v>
      </c>
      <c r="D32" s="8">
        <v>3.92</v>
      </c>
      <c r="E32" s="12">
        <v>155</v>
      </c>
      <c r="F32" s="8">
        <v>5.22</v>
      </c>
      <c r="G32" s="12">
        <v>162</v>
      </c>
      <c r="H32" s="8">
        <v>3.22</v>
      </c>
      <c r="I32" s="12">
        <v>0</v>
      </c>
    </row>
    <row r="33" spans="2:9" ht="15" customHeight="1" x14ac:dyDescent="0.2">
      <c r="B33" t="s">
        <v>86</v>
      </c>
      <c r="C33" s="12">
        <v>284</v>
      </c>
      <c r="D33" s="8">
        <v>3.51</v>
      </c>
      <c r="E33" s="12">
        <v>19</v>
      </c>
      <c r="F33" s="8">
        <v>0.64</v>
      </c>
      <c r="G33" s="12">
        <v>265</v>
      </c>
      <c r="H33" s="8">
        <v>5.27</v>
      </c>
      <c r="I33" s="12">
        <v>0</v>
      </c>
    </row>
    <row r="34" spans="2:9" ht="15" customHeight="1" x14ac:dyDescent="0.2">
      <c r="B34" t="s">
        <v>90</v>
      </c>
      <c r="C34" s="12">
        <v>264</v>
      </c>
      <c r="D34" s="8">
        <v>3.27</v>
      </c>
      <c r="E34" s="12">
        <v>148</v>
      </c>
      <c r="F34" s="8">
        <v>4.9800000000000004</v>
      </c>
      <c r="G34" s="12">
        <v>116</v>
      </c>
      <c r="H34" s="8">
        <v>2.31</v>
      </c>
      <c r="I34" s="12">
        <v>0</v>
      </c>
    </row>
    <row r="35" spans="2:9" ht="15" customHeight="1" x14ac:dyDescent="0.2">
      <c r="B35" t="s">
        <v>96</v>
      </c>
      <c r="C35" s="12">
        <v>223</v>
      </c>
      <c r="D35" s="8">
        <v>2.76</v>
      </c>
      <c r="E35" s="12">
        <v>50</v>
      </c>
      <c r="F35" s="8">
        <v>1.68</v>
      </c>
      <c r="G35" s="12">
        <v>172</v>
      </c>
      <c r="H35" s="8">
        <v>3.42</v>
      </c>
      <c r="I35" s="12">
        <v>0</v>
      </c>
    </row>
    <row r="36" spans="2:9" ht="15" customHeight="1" x14ac:dyDescent="0.2">
      <c r="B36" t="s">
        <v>91</v>
      </c>
      <c r="C36" s="12">
        <v>200</v>
      </c>
      <c r="D36" s="8">
        <v>2.4700000000000002</v>
      </c>
      <c r="E36" s="12">
        <v>67</v>
      </c>
      <c r="F36" s="8">
        <v>2.2599999999999998</v>
      </c>
      <c r="G36" s="12">
        <v>133</v>
      </c>
      <c r="H36" s="8">
        <v>2.64</v>
      </c>
      <c r="I36" s="12">
        <v>0</v>
      </c>
    </row>
    <row r="37" spans="2:9" ht="15" customHeight="1" x14ac:dyDescent="0.2">
      <c r="B37" t="s">
        <v>89</v>
      </c>
      <c r="C37" s="12">
        <v>182</v>
      </c>
      <c r="D37" s="8">
        <v>2.25</v>
      </c>
      <c r="E37" s="12">
        <v>47</v>
      </c>
      <c r="F37" s="8">
        <v>1.58</v>
      </c>
      <c r="G37" s="12">
        <v>135</v>
      </c>
      <c r="H37" s="8">
        <v>2.68</v>
      </c>
      <c r="I37" s="12">
        <v>0</v>
      </c>
    </row>
    <row r="38" spans="2:9" ht="15" customHeight="1" x14ac:dyDescent="0.2">
      <c r="B38" t="s">
        <v>93</v>
      </c>
      <c r="C38" s="12">
        <v>176</v>
      </c>
      <c r="D38" s="8">
        <v>2.1800000000000002</v>
      </c>
      <c r="E38" s="12">
        <v>3</v>
      </c>
      <c r="F38" s="8">
        <v>0.1</v>
      </c>
      <c r="G38" s="12">
        <v>172</v>
      </c>
      <c r="H38" s="8">
        <v>3.42</v>
      </c>
      <c r="I38" s="12">
        <v>1</v>
      </c>
    </row>
    <row r="39" spans="2:9" ht="15" customHeight="1" x14ac:dyDescent="0.2">
      <c r="B39" t="s">
        <v>99</v>
      </c>
      <c r="C39" s="12">
        <v>166</v>
      </c>
      <c r="D39" s="8">
        <v>2.0499999999999998</v>
      </c>
      <c r="E39" s="12">
        <v>36</v>
      </c>
      <c r="F39" s="8">
        <v>1.21</v>
      </c>
      <c r="G39" s="12">
        <v>73</v>
      </c>
      <c r="H39" s="8">
        <v>1.45</v>
      </c>
      <c r="I39" s="12">
        <v>1</v>
      </c>
    </row>
    <row r="40" spans="2:9" ht="15" customHeight="1" x14ac:dyDescent="0.2">
      <c r="B40" t="s">
        <v>109</v>
      </c>
      <c r="C40" s="12">
        <v>133</v>
      </c>
      <c r="D40" s="8">
        <v>1.65</v>
      </c>
      <c r="E40" s="12">
        <v>11</v>
      </c>
      <c r="F40" s="8">
        <v>0.37</v>
      </c>
      <c r="G40" s="12">
        <v>122</v>
      </c>
      <c r="H40" s="8">
        <v>2.42</v>
      </c>
      <c r="I40" s="12">
        <v>0</v>
      </c>
    </row>
    <row r="41" spans="2:9" ht="15" customHeight="1" x14ac:dyDescent="0.2">
      <c r="B41" t="s">
        <v>105</v>
      </c>
      <c r="C41" s="12">
        <v>119</v>
      </c>
      <c r="D41" s="8">
        <v>1.47</v>
      </c>
      <c r="E41" s="12">
        <v>8</v>
      </c>
      <c r="F41" s="8">
        <v>0.27</v>
      </c>
      <c r="G41" s="12">
        <v>111</v>
      </c>
      <c r="H41" s="8">
        <v>2.21</v>
      </c>
      <c r="I41" s="12">
        <v>0</v>
      </c>
    </row>
    <row r="42" spans="2:9" ht="15" customHeight="1" x14ac:dyDescent="0.2">
      <c r="B42" t="s">
        <v>88</v>
      </c>
      <c r="C42" s="12">
        <v>109</v>
      </c>
      <c r="D42" s="8">
        <v>1.35</v>
      </c>
      <c r="E42" s="12">
        <v>6</v>
      </c>
      <c r="F42" s="8">
        <v>0.2</v>
      </c>
      <c r="G42" s="12">
        <v>103</v>
      </c>
      <c r="H42" s="8">
        <v>2.0499999999999998</v>
      </c>
      <c r="I42" s="12">
        <v>0</v>
      </c>
    </row>
    <row r="43" spans="2:9" ht="15" customHeight="1" x14ac:dyDescent="0.2">
      <c r="B43" t="s">
        <v>104</v>
      </c>
      <c r="C43" s="12">
        <v>107</v>
      </c>
      <c r="D43" s="8">
        <v>1.32</v>
      </c>
      <c r="E43" s="12">
        <v>12</v>
      </c>
      <c r="F43" s="8">
        <v>0.4</v>
      </c>
      <c r="G43" s="12">
        <v>95</v>
      </c>
      <c r="H43" s="8">
        <v>1.89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403</v>
      </c>
      <c r="D47" s="8">
        <v>4.99</v>
      </c>
      <c r="E47" s="12">
        <v>312</v>
      </c>
      <c r="F47" s="8">
        <v>10.51</v>
      </c>
      <c r="G47" s="12">
        <v>90</v>
      </c>
      <c r="H47" s="8">
        <v>1.79</v>
      </c>
      <c r="I47" s="12">
        <v>1</v>
      </c>
    </row>
    <row r="48" spans="2:9" ht="15" customHeight="1" x14ac:dyDescent="0.2">
      <c r="B48" t="s">
        <v>158</v>
      </c>
      <c r="C48" s="12">
        <v>370</v>
      </c>
      <c r="D48" s="8">
        <v>4.58</v>
      </c>
      <c r="E48" s="12">
        <v>85</v>
      </c>
      <c r="F48" s="8">
        <v>2.86</v>
      </c>
      <c r="G48" s="12">
        <v>284</v>
      </c>
      <c r="H48" s="8">
        <v>5.64</v>
      </c>
      <c r="I48" s="12">
        <v>1</v>
      </c>
    </row>
    <row r="49" spans="2:9" ht="15" customHeight="1" x14ac:dyDescent="0.2">
      <c r="B49" t="s">
        <v>163</v>
      </c>
      <c r="C49" s="12">
        <v>270</v>
      </c>
      <c r="D49" s="8">
        <v>3.34</v>
      </c>
      <c r="E49" s="12">
        <v>242</v>
      </c>
      <c r="F49" s="8">
        <v>8.15</v>
      </c>
      <c r="G49" s="12">
        <v>28</v>
      </c>
      <c r="H49" s="8">
        <v>0.56000000000000005</v>
      </c>
      <c r="I49" s="12">
        <v>0</v>
      </c>
    </row>
    <row r="50" spans="2:9" ht="15" customHeight="1" x14ac:dyDescent="0.2">
      <c r="B50" t="s">
        <v>166</v>
      </c>
      <c r="C50" s="12">
        <v>254</v>
      </c>
      <c r="D50" s="8">
        <v>3.14</v>
      </c>
      <c r="E50" s="12">
        <v>195</v>
      </c>
      <c r="F50" s="8">
        <v>6.57</v>
      </c>
      <c r="G50" s="12">
        <v>59</v>
      </c>
      <c r="H50" s="8">
        <v>1.17</v>
      </c>
      <c r="I50" s="12">
        <v>0</v>
      </c>
    </row>
    <row r="51" spans="2:9" ht="15" customHeight="1" x14ac:dyDescent="0.2">
      <c r="B51" t="s">
        <v>162</v>
      </c>
      <c r="C51" s="12">
        <v>251</v>
      </c>
      <c r="D51" s="8">
        <v>3.11</v>
      </c>
      <c r="E51" s="12">
        <v>219</v>
      </c>
      <c r="F51" s="8">
        <v>7.37</v>
      </c>
      <c r="G51" s="12">
        <v>32</v>
      </c>
      <c r="H51" s="8">
        <v>0.64</v>
      </c>
      <c r="I51" s="12">
        <v>0</v>
      </c>
    </row>
    <row r="52" spans="2:9" ht="15" customHeight="1" x14ac:dyDescent="0.2">
      <c r="B52" t="s">
        <v>161</v>
      </c>
      <c r="C52" s="12">
        <v>234</v>
      </c>
      <c r="D52" s="8">
        <v>2.89</v>
      </c>
      <c r="E52" s="12">
        <v>173</v>
      </c>
      <c r="F52" s="8">
        <v>5.82</v>
      </c>
      <c r="G52" s="12">
        <v>61</v>
      </c>
      <c r="H52" s="8">
        <v>1.21</v>
      </c>
      <c r="I52" s="12">
        <v>0</v>
      </c>
    </row>
    <row r="53" spans="2:9" ht="15" customHeight="1" x14ac:dyDescent="0.2">
      <c r="B53" t="s">
        <v>165</v>
      </c>
      <c r="C53" s="12">
        <v>206</v>
      </c>
      <c r="D53" s="8">
        <v>2.5499999999999998</v>
      </c>
      <c r="E53" s="12">
        <v>130</v>
      </c>
      <c r="F53" s="8">
        <v>4.38</v>
      </c>
      <c r="G53" s="12">
        <v>75</v>
      </c>
      <c r="H53" s="8">
        <v>1.49</v>
      </c>
      <c r="I53" s="12">
        <v>1</v>
      </c>
    </row>
    <row r="54" spans="2:9" ht="15" customHeight="1" x14ac:dyDescent="0.2">
      <c r="B54" t="s">
        <v>159</v>
      </c>
      <c r="C54" s="12">
        <v>194</v>
      </c>
      <c r="D54" s="8">
        <v>2.4</v>
      </c>
      <c r="E54" s="12">
        <v>4</v>
      </c>
      <c r="F54" s="8">
        <v>0.13</v>
      </c>
      <c r="G54" s="12">
        <v>189</v>
      </c>
      <c r="H54" s="8">
        <v>3.76</v>
      </c>
      <c r="I54" s="12">
        <v>1</v>
      </c>
    </row>
    <row r="55" spans="2:9" ht="15" customHeight="1" x14ac:dyDescent="0.2">
      <c r="B55" t="s">
        <v>169</v>
      </c>
      <c r="C55" s="12">
        <v>149</v>
      </c>
      <c r="D55" s="8">
        <v>1.84</v>
      </c>
      <c r="E55" s="12">
        <v>64</v>
      </c>
      <c r="F55" s="8">
        <v>2.15</v>
      </c>
      <c r="G55" s="12">
        <v>85</v>
      </c>
      <c r="H55" s="8">
        <v>1.69</v>
      </c>
      <c r="I55" s="12">
        <v>0</v>
      </c>
    </row>
    <row r="56" spans="2:9" ht="15" customHeight="1" x14ac:dyDescent="0.2">
      <c r="B56" t="s">
        <v>171</v>
      </c>
      <c r="C56" s="12">
        <v>139</v>
      </c>
      <c r="D56" s="8">
        <v>1.72</v>
      </c>
      <c r="E56" s="12">
        <v>3</v>
      </c>
      <c r="F56" s="8">
        <v>0.1</v>
      </c>
      <c r="G56" s="12">
        <v>135</v>
      </c>
      <c r="H56" s="8">
        <v>2.68</v>
      </c>
      <c r="I56" s="12">
        <v>1</v>
      </c>
    </row>
    <row r="57" spans="2:9" ht="15" customHeight="1" x14ac:dyDescent="0.2">
      <c r="B57" t="s">
        <v>157</v>
      </c>
      <c r="C57" s="12">
        <v>138</v>
      </c>
      <c r="D57" s="8">
        <v>1.71</v>
      </c>
      <c r="E57" s="12">
        <v>10</v>
      </c>
      <c r="F57" s="8">
        <v>0.34</v>
      </c>
      <c r="G57" s="12">
        <v>128</v>
      </c>
      <c r="H57" s="8">
        <v>2.54</v>
      </c>
      <c r="I57" s="12">
        <v>0</v>
      </c>
    </row>
    <row r="58" spans="2:9" ht="15" customHeight="1" x14ac:dyDescent="0.2">
      <c r="B58" t="s">
        <v>160</v>
      </c>
      <c r="C58" s="12">
        <v>132</v>
      </c>
      <c r="D58" s="8">
        <v>1.63</v>
      </c>
      <c r="E58" s="12">
        <v>19</v>
      </c>
      <c r="F58" s="8">
        <v>0.64</v>
      </c>
      <c r="G58" s="12">
        <v>112</v>
      </c>
      <c r="H58" s="8">
        <v>2.23</v>
      </c>
      <c r="I58" s="12">
        <v>0</v>
      </c>
    </row>
    <row r="59" spans="2:9" ht="15" customHeight="1" x14ac:dyDescent="0.2">
      <c r="B59" t="s">
        <v>193</v>
      </c>
      <c r="C59" s="12">
        <v>127</v>
      </c>
      <c r="D59" s="8">
        <v>1.57</v>
      </c>
      <c r="E59" s="12">
        <v>114</v>
      </c>
      <c r="F59" s="8">
        <v>3.84</v>
      </c>
      <c r="G59" s="12">
        <v>13</v>
      </c>
      <c r="H59" s="8">
        <v>0.26</v>
      </c>
      <c r="I59" s="12">
        <v>0</v>
      </c>
    </row>
    <row r="60" spans="2:9" ht="15" customHeight="1" x14ac:dyDescent="0.2">
      <c r="B60" t="s">
        <v>170</v>
      </c>
      <c r="C60" s="12">
        <v>126</v>
      </c>
      <c r="D60" s="8">
        <v>1.56</v>
      </c>
      <c r="E60" s="12">
        <v>109</v>
      </c>
      <c r="F60" s="8">
        <v>3.67</v>
      </c>
      <c r="G60" s="12">
        <v>17</v>
      </c>
      <c r="H60" s="8">
        <v>0.34</v>
      </c>
      <c r="I60" s="12">
        <v>0</v>
      </c>
    </row>
    <row r="61" spans="2:9" ht="15" customHeight="1" x14ac:dyDescent="0.2">
      <c r="B61" t="s">
        <v>156</v>
      </c>
      <c r="C61" s="12">
        <v>122</v>
      </c>
      <c r="D61" s="8">
        <v>1.51</v>
      </c>
      <c r="E61" s="12">
        <v>58</v>
      </c>
      <c r="F61" s="8">
        <v>1.95</v>
      </c>
      <c r="G61" s="12">
        <v>64</v>
      </c>
      <c r="H61" s="8">
        <v>1.27</v>
      </c>
      <c r="I61" s="12">
        <v>0</v>
      </c>
    </row>
    <row r="62" spans="2:9" ht="15" customHeight="1" x14ac:dyDescent="0.2">
      <c r="B62" t="s">
        <v>153</v>
      </c>
      <c r="C62" s="12">
        <v>116</v>
      </c>
      <c r="D62" s="8">
        <v>1.44</v>
      </c>
      <c r="E62" s="12">
        <v>3</v>
      </c>
      <c r="F62" s="8">
        <v>0.1</v>
      </c>
      <c r="G62" s="12">
        <v>113</v>
      </c>
      <c r="H62" s="8">
        <v>2.25</v>
      </c>
      <c r="I62" s="12">
        <v>0</v>
      </c>
    </row>
    <row r="63" spans="2:9" ht="15" customHeight="1" x14ac:dyDescent="0.2">
      <c r="B63" t="s">
        <v>149</v>
      </c>
      <c r="C63" s="12">
        <v>115</v>
      </c>
      <c r="D63" s="8">
        <v>1.42</v>
      </c>
      <c r="E63" s="12">
        <v>1</v>
      </c>
      <c r="F63" s="8">
        <v>0.03</v>
      </c>
      <c r="G63" s="12">
        <v>114</v>
      </c>
      <c r="H63" s="8">
        <v>2.27</v>
      </c>
      <c r="I63" s="12">
        <v>0</v>
      </c>
    </row>
    <row r="64" spans="2:9" ht="15" customHeight="1" x14ac:dyDescent="0.2">
      <c r="B64" t="s">
        <v>151</v>
      </c>
      <c r="C64" s="12">
        <v>112</v>
      </c>
      <c r="D64" s="8">
        <v>1.39</v>
      </c>
      <c r="E64" s="12">
        <v>9</v>
      </c>
      <c r="F64" s="8">
        <v>0.3</v>
      </c>
      <c r="G64" s="12">
        <v>103</v>
      </c>
      <c r="H64" s="8">
        <v>2.0499999999999998</v>
      </c>
      <c r="I64" s="12">
        <v>0</v>
      </c>
    </row>
    <row r="65" spans="2:9" ht="15" customHeight="1" x14ac:dyDescent="0.2">
      <c r="B65" t="s">
        <v>179</v>
      </c>
      <c r="C65" s="12">
        <v>112</v>
      </c>
      <c r="D65" s="8">
        <v>1.39</v>
      </c>
      <c r="E65" s="12">
        <v>23</v>
      </c>
      <c r="F65" s="8">
        <v>0.77</v>
      </c>
      <c r="G65" s="12">
        <v>34</v>
      </c>
      <c r="H65" s="8">
        <v>0.68</v>
      </c>
      <c r="I65" s="12">
        <v>0</v>
      </c>
    </row>
    <row r="66" spans="2:9" ht="15" customHeight="1" x14ac:dyDescent="0.2">
      <c r="B66" t="s">
        <v>180</v>
      </c>
      <c r="C66" s="12">
        <v>106</v>
      </c>
      <c r="D66" s="8">
        <v>1.31</v>
      </c>
      <c r="E66" s="12">
        <v>58</v>
      </c>
      <c r="F66" s="8">
        <v>1.95</v>
      </c>
      <c r="G66" s="12">
        <v>48</v>
      </c>
      <c r="H66" s="8">
        <v>0.95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03453-3DC2-4C58-9872-35547218EBD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262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197</v>
      </c>
      <c r="D6" s="8">
        <v>13.07</v>
      </c>
      <c r="E6" s="12">
        <v>93</v>
      </c>
      <c r="F6" s="8">
        <v>10.31</v>
      </c>
      <c r="G6" s="12">
        <v>104</v>
      </c>
      <c r="H6" s="8">
        <v>17.63</v>
      </c>
      <c r="I6" s="12">
        <v>0</v>
      </c>
    </row>
    <row r="7" spans="2:9" ht="15" customHeight="1" x14ac:dyDescent="0.2">
      <c r="B7" t="s">
        <v>63</v>
      </c>
      <c r="C7" s="12">
        <v>86</v>
      </c>
      <c r="D7" s="8">
        <v>5.71</v>
      </c>
      <c r="E7" s="12">
        <v>35</v>
      </c>
      <c r="F7" s="8">
        <v>3.88</v>
      </c>
      <c r="G7" s="12">
        <v>51</v>
      </c>
      <c r="H7" s="8">
        <v>8.64</v>
      </c>
      <c r="I7" s="12">
        <v>0</v>
      </c>
    </row>
    <row r="8" spans="2:9" ht="15" customHeight="1" x14ac:dyDescent="0.2">
      <c r="B8" t="s">
        <v>64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0.17</v>
      </c>
      <c r="I8" s="12">
        <v>0</v>
      </c>
    </row>
    <row r="9" spans="2:9" ht="15" customHeight="1" x14ac:dyDescent="0.2">
      <c r="B9" t="s">
        <v>65</v>
      </c>
      <c r="C9" s="12">
        <v>7</v>
      </c>
      <c r="D9" s="8">
        <v>0.46</v>
      </c>
      <c r="E9" s="12">
        <v>0</v>
      </c>
      <c r="F9" s="8">
        <v>0</v>
      </c>
      <c r="G9" s="12">
        <v>7</v>
      </c>
      <c r="H9" s="8">
        <v>1.19</v>
      </c>
      <c r="I9" s="12">
        <v>0</v>
      </c>
    </row>
    <row r="10" spans="2:9" ht="15" customHeight="1" x14ac:dyDescent="0.2">
      <c r="B10" t="s">
        <v>66</v>
      </c>
      <c r="C10" s="12">
        <v>8</v>
      </c>
      <c r="D10" s="8">
        <v>0.53</v>
      </c>
      <c r="E10" s="12">
        <v>0</v>
      </c>
      <c r="F10" s="8">
        <v>0</v>
      </c>
      <c r="G10" s="12">
        <v>8</v>
      </c>
      <c r="H10" s="8">
        <v>1.36</v>
      </c>
      <c r="I10" s="12">
        <v>0</v>
      </c>
    </row>
    <row r="11" spans="2:9" ht="15" customHeight="1" x14ac:dyDescent="0.2">
      <c r="B11" t="s">
        <v>67</v>
      </c>
      <c r="C11" s="12">
        <v>351</v>
      </c>
      <c r="D11" s="8">
        <v>23.29</v>
      </c>
      <c r="E11" s="12">
        <v>178</v>
      </c>
      <c r="F11" s="8">
        <v>19.73</v>
      </c>
      <c r="G11" s="12">
        <v>173</v>
      </c>
      <c r="H11" s="8">
        <v>29.32</v>
      </c>
      <c r="I11" s="12">
        <v>0</v>
      </c>
    </row>
    <row r="12" spans="2:9" ht="15" customHeight="1" x14ac:dyDescent="0.2">
      <c r="B12" t="s">
        <v>68</v>
      </c>
      <c r="C12" s="12">
        <v>11</v>
      </c>
      <c r="D12" s="8">
        <v>0.73</v>
      </c>
      <c r="E12" s="12">
        <v>2</v>
      </c>
      <c r="F12" s="8">
        <v>0.22</v>
      </c>
      <c r="G12" s="12">
        <v>9</v>
      </c>
      <c r="H12" s="8">
        <v>1.53</v>
      </c>
      <c r="I12" s="12">
        <v>0</v>
      </c>
    </row>
    <row r="13" spans="2:9" ht="15" customHeight="1" x14ac:dyDescent="0.2">
      <c r="B13" t="s">
        <v>69</v>
      </c>
      <c r="C13" s="12">
        <v>93</v>
      </c>
      <c r="D13" s="8">
        <v>6.17</v>
      </c>
      <c r="E13" s="12">
        <v>32</v>
      </c>
      <c r="F13" s="8">
        <v>3.55</v>
      </c>
      <c r="G13" s="12">
        <v>61</v>
      </c>
      <c r="H13" s="8">
        <v>10.34</v>
      </c>
      <c r="I13" s="12">
        <v>0</v>
      </c>
    </row>
    <row r="14" spans="2:9" ht="15" customHeight="1" x14ac:dyDescent="0.2">
      <c r="B14" t="s">
        <v>70</v>
      </c>
      <c r="C14" s="12">
        <v>52</v>
      </c>
      <c r="D14" s="8">
        <v>3.45</v>
      </c>
      <c r="E14" s="12">
        <v>32</v>
      </c>
      <c r="F14" s="8">
        <v>3.55</v>
      </c>
      <c r="G14" s="12">
        <v>20</v>
      </c>
      <c r="H14" s="8">
        <v>3.39</v>
      </c>
      <c r="I14" s="12">
        <v>0</v>
      </c>
    </row>
    <row r="15" spans="2:9" ht="15" customHeight="1" x14ac:dyDescent="0.2">
      <c r="B15" t="s">
        <v>71</v>
      </c>
      <c r="C15" s="12">
        <v>300</v>
      </c>
      <c r="D15" s="8">
        <v>19.91</v>
      </c>
      <c r="E15" s="12">
        <v>248</v>
      </c>
      <c r="F15" s="8">
        <v>27.49</v>
      </c>
      <c r="G15" s="12">
        <v>52</v>
      </c>
      <c r="H15" s="8">
        <v>8.81</v>
      </c>
      <c r="I15" s="12">
        <v>0</v>
      </c>
    </row>
    <row r="16" spans="2:9" ht="15" customHeight="1" x14ac:dyDescent="0.2">
      <c r="B16" t="s">
        <v>72</v>
      </c>
      <c r="C16" s="12">
        <v>212</v>
      </c>
      <c r="D16" s="8">
        <v>14.07</v>
      </c>
      <c r="E16" s="12">
        <v>182</v>
      </c>
      <c r="F16" s="8">
        <v>20.18</v>
      </c>
      <c r="G16" s="12">
        <v>28</v>
      </c>
      <c r="H16" s="8">
        <v>4.75</v>
      </c>
      <c r="I16" s="12">
        <v>0</v>
      </c>
    </row>
    <row r="17" spans="2:9" ht="15" customHeight="1" x14ac:dyDescent="0.2">
      <c r="B17" t="s">
        <v>73</v>
      </c>
      <c r="C17" s="12">
        <v>63</v>
      </c>
      <c r="D17" s="8">
        <v>4.18</v>
      </c>
      <c r="E17" s="12">
        <v>39</v>
      </c>
      <c r="F17" s="8">
        <v>4.32</v>
      </c>
      <c r="G17" s="12">
        <v>12</v>
      </c>
      <c r="H17" s="8">
        <v>2.0299999999999998</v>
      </c>
      <c r="I17" s="12">
        <v>0</v>
      </c>
    </row>
    <row r="18" spans="2:9" ht="15" customHeight="1" x14ac:dyDescent="0.2">
      <c r="B18" t="s">
        <v>74</v>
      </c>
      <c r="C18" s="12">
        <v>69</v>
      </c>
      <c r="D18" s="8">
        <v>4.58</v>
      </c>
      <c r="E18" s="12">
        <v>42</v>
      </c>
      <c r="F18" s="8">
        <v>4.66</v>
      </c>
      <c r="G18" s="12">
        <v>27</v>
      </c>
      <c r="H18" s="8">
        <v>4.58</v>
      </c>
      <c r="I18" s="12">
        <v>0</v>
      </c>
    </row>
    <row r="19" spans="2:9" ht="15" customHeight="1" x14ac:dyDescent="0.2">
      <c r="B19" t="s">
        <v>75</v>
      </c>
      <c r="C19" s="12">
        <v>57</v>
      </c>
      <c r="D19" s="8">
        <v>3.78</v>
      </c>
      <c r="E19" s="12">
        <v>19</v>
      </c>
      <c r="F19" s="8">
        <v>2.11</v>
      </c>
      <c r="G19" s="12">
        <v>37</v>
      </c>
      <c r="H19" s="8">
        <v>6.27</v>
      </c>
      <c r="I19" s="12">
        <v>0</v>
      </c>
    </row>
    <row r="20" spans="2:9" ht="15" customHeight="1" x14ac:dyDescent="0.2">
      <c r="B20" s="9" t="s">
        <v>248</v>
      </c>
      <c r="C20" s="12">
        <f>SUM(LTBL_12205[総数／事業所数])</f>
        <v>1507</v>
      </c>
      <c r="E20" s="12">
        <f>SUBTOTAL(109,LTBL_12205[個人／事業所数])</f>
        <v>902</v>
      </c>
      <c r="G20" s="12">
        <f>SUBTOTAL(109,LTBL_12205[法人／事業所数])</f>
        <v>590</v>
      </c>
      <c r="I20" s="12">
        <f>SUBTOTAL(109,LTBL_12205[法人以外の団体／事業所数])</f>
        <v>0</v>
      </c>
    </row>
    <row r="21" spans="2:9" ht="15" customHeight="1" x14ac:dyDescent="0.2">
      <c r="E21" s="11">
        <f>LTBL_12205[[#Totals],[個人／事業所数]]/LTBL_12205[[#Totals],[総数／事業所数]]</f>
        <v>0.59854014598540151</v>
      </c>
      <c r="G21" s="11">
        <f>LTBL_12205[[#Totals],[法人／事業所数]]/LTBL_12205[[#Totals],[総数／事業所数]]</f>
        <v>0.39150630391506303</v>
      </c>
      <c r="I21" s="11">
        <f>LTBL_12205[[#Totals],[法人以外の団体／事業所数]]/LTBL_12205[[#Totals],[総数／事業所数]]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97</v>
      </c>
      <c r="C24" s="12">
        <v>237</v>
      </c>
      <c r="D24" s="8">
        <v>15.73</v>
      </c>
      <c r="E24" s="12">
        <v>205</v>
      </c>
      <c r="F24" s="8">
        <v>22.73</v>
      </c>
      <c r="G24" s="12">
        <v>32</v>
      </c>
      <c r="H24" s="8">
        <v>5.42</v>
      </c>
      <c r="I24" s="12">
        <v>0</v>
      </c>
    </row>
    <row r="25" spans="2:9" ht="15" customHeight="1" x14ac:dyDescent="0.2">
      <c r="B25" t="s">
        <v>98</v>
      </c>
      <c r="C25" s="12">
        <v>185</v>
      </c>
      <c r="D25" s="8">
        <v>12.28</v>
      </c>
      <c r="E25" s="12">
        <v>170</v>
      </c>
      <c r="F25" s="8">
        <v>18.850000000000001</v>
      </c>
      <c r="G25" s="12">
        <v>15</v>
      </c>
      <c r="H25" s="8">
        <v>2.54</v>
      </c>
      <c r="I25" s="12">
        <v>0</v>
      </c>
    </row>
    <row r="26" spans="2:9" ht="15" customHeight="1" x14ac:dyDescent="0.2">
      <c r="B26" t="s">
        <v>92</v>
      </c>
      <c r="C26" s="12">
        <v>110</v>
      </c>
      <c r="D26" s="8">
        <v>7.3</v>
      </c>
      <c r="E26" s="12">
        <v>56</v>
      </c>
      <c r="F26" s="8">
        <v>6.21</v>
      </c>
      <c r="G26" s="12">
        <v>54</v>
      </c>
      <c r="H26" s="8">
        <v>9.15</v>
      </c>
      <c r="I26" s="12">
        <v>0</v>
      </c>
    </row>
    <row r="27" spans="2:9" ht="15" customHeight="1" x14ac:dyDescent="0.2">
      <c r="B27" t="s">
        <v>84</v>
      </c>
      <c r="C27" s="12">
        <v>94</v>
      </c>
      <c r="D27" s="8">
        <v>6.24</v>
      </c>
      <c r="E27" s="12">
        <v>47</v>
      </c>
      <c r="F27" s="8">
        <v>5.21</v>
      </c>
      <c r="G27" s="12">
        <v>47</v>
      </c>
      <c r="H27" s="8">
        <v>7.97</v>
      </c>
      <c r="I27" s="12">
        <v>0</v>
      </c>
    </row>
    <row r="28" spans="2:9" ht="15" customHeight="1" x14ac:dyDescent="0.2">
      <c r="B28" t="s">
        <v>90</v>
      </c>
      <c r="C28" s="12">
        <v>92</v>
      </c>
      <c r="D28" s="8">
        <v>6.1</v>
      </c>
      <c r="E28" s="12">
        <v>65</v>
      </c>
      <c r="F28" s="8">
        <v>7.21</v>
      </c>
      <c r="G28" s="12">
        <v>27</v>
      </c>
      <c r="H28" s="8">
        <v>4.58</v>
      </c>
      <c r="I28" s="12">
        <v>0</v>
      </c>
    </row>
    <row r="29" spans="2:9" ht="15" customHeight="1" x14ac:dyDescent="0.2">
      <c r="B29" t="s">
        <v>100</v>
      </c>
      <c r="C29" s="12">
        <v>63</v>
      </c>
      <c r="D29" s="8">
        <v>4.18</v>
      </c>
      <c r="E29" s="12">
        <v>39</v>
      </c>
      <c r="F29" s="8">
        <v>4.32</v>
      </c>
      <c r="G29" s="12">
        <v>12</v>
      </c>
      <c r="H29" s="8">
        <v>2.0299999999999998</v>
      </c>
      <c r="I29" s="12">
        <v>0</v>
      </c>
    </row>
    <row r="30" spans="2:9" ht="15" customHeight="1" x14ac:dyDescent="0.2">
      <c r="B30" t="s">
        <v>94</v>
      </c>
      <c r="C30" s="12">
        <v>58</v>
      </c>
      <c r="D30" s="8">
        <v>3.85</v>
      </c>
      <c r="E30" s="12">
        <v>28</v>
      </c>
      <c r="F30" s="8">
        <v>3.1</v>
      </c>
      <c r="G30" s="12">
        <v>30</v>
      </c>
      <c r="H30" s="8">
        <v>5.08</v>
      </c>
      <c r="I30" s="12">
        <v>0</v>
      </c>
    </row>
    <row r="31" spans="2:9" ht="15" customHeight="1" x14ac:dyDescent="0.2">
      <c r="B31" t="s">
        <v>85</v>
      </c>
      <c r="C31" s="12">
        <v>57</v>
      </c>
      <c r="D31" s="8">
        <v>3.78</v>
      </c>
      <c r="E31" s="12">
        <v>30</v>
      </c>
      <c r="F31" s="8">
        <v>3.33</v>
      </c>
      <c r="G31" s="12">
        <v>27</v>
      </c>
      <c r="H31" s="8">
        <v>4.58</v>
      </c>
      <c r="I31" s="12">
        <v>0</v>
      </c>
    </row>
    <row r="32" spans="2:9" ht="15" customHeight="1" x14ac:dyDescent="0.2">
      <c r="B32" t="s">
        <v>111</v>
      </c>
      <c r="C32" s="12">
        <v>52</v>
      </c>
      <c r="D32" s="8">
        <v>3.45</v>
      </c>
      <c r="E32" s="12">
        <v>36</v>
      </c>
      <c r="F32" s="8">
        <v>3.99</v>
      </c>
      <c r="G32" s="12">
        <v>16</v>
      </c>
      <c r="H32" s="8">
        <v>2.71</v>
      </c>
      <c r="I32" s="12">
        <v>0</v>
      </c>
    </row>
    <row r="33" spans="2:9" ht="15" customHeight="1" x14ac:dyDescent="0.2">
      <c r="B33" t="s">
        <v>101</v>
      </c>
      <c r="C33" s="12">
        <v>48</v>
      </c>
      <c r="D33" s="8">
        <v>3.19</v>
      </c>
      <c r="E33" s="12">
        <v>42</v>
      </c>
      <c r="F33" s="8">
        <v>4.66</v>
      </c>
      <c r="G33" s="12">
        <v>6</v>
      </c>
      <c r="H33" s="8">
        <v>1.02</v>
      </c>
      <c r="I33" s="12">
        <v>0</v>
      </c>
    </row>
    <row r="34" spans="2:9" ht="15" customHeight="1" x14ac:dyDescent="0.2">
      <c r="B34" t="s">
        <v>86</v>
      </c>
      <c r="C34" s="12">
        <v>46</v>
      </c>
      <c r="D34" s="8">
        <v>3.05</v>
      </c>
      <c r="E34" s="12">
        <v>16</v>
      </c>
      <c r="F34" s="8">
        <v>1.77</v>
      </c>
      <c r="G34" s="12">
        <v>30</v>
      </c>
      <c r="H34" s="8">
        <v>5.08</v>
      </c>
      <c r="I34" s="12">
        <v>0</v>
      </c>
    </row>
    <row r="35" spans="2:9" ht="15" customHeight="1" x14ac:dyDescent="0.2">
      <c r="B35" t="s">
        <v>91</v>
      </c>
      <c r="C35" s="12">
        <v>46</v>
      </c>
      <c r="D35" s="8">
        <v>3.05</v>
      </c>
      <c r="E35" s="12">
        <v>23</v>
      </c>
      <c r="F35" s="8">
        <v>2.5499999999999998</v>
      </c>
      <c r="G35" s="12">
        <v>23</v>
      </c>
      <c r="H35" s="8">
        <v>3.9</v>
      </c>
      <c r="I35" s="12">
        <v>0</v>
      </c>
    </row>
    <row r="36" spans="2:9" ht="15" customHeight="1" x14ac:dyDescent="0.2">
      <c r="B36" t="s">
        <v>89</v>
      </c>
      <c r="C36" s="12">
        <v>37</v>
      </c>
      <c r="D36" s="8">
        <v>2.46</v>
      </c>
      <c r="E36" s="12">
        <v>16</v>
      </c>
      <c r="F36" s="8">
        <v>1.77</v>
      </c>
      <c r="G36" s="12">
        <v>21</v>
      </c>
      <c r="H36" s="8">
        <v>3.56</v>
      </c>
      <c r="I36" s="12">
        <v>0</v>
      </c>
    </row>
    <row r="37" spans="2:9" ht="15" customHeight="1" x14ac:dyDescent="0.2">
      <c r="B37" t="s">
        <v>95</v>
      </c>
      <c r="C37" s="12">
        <v>31</v>
      </c>
      <c r="D37" s="8">
        <v>2.06</v>
      </c>
      <c r="E37" s="12">
        <v>22</v>
      </c>
      <c r="F37" s="8">
        <v>2.44</v>
      </c>
      <c r="G37" s="12">
        <v>9</v>
      </c>
      <c r="H37" s="8">
        <v>1.53</v>
      </c>
      <c r="I37" s="12">
        <v>0</v>
      </c>
    </row>
    <row r="38" spans="2:9" ht="15" customHeight="1" x14ac:dyDescent="0.2">
      <c r="B38" t="s">
        <v>93</v>
      </c>
      <c r="C38" s="12">
        <v>29</v>
      </c>
      <c r="D38" s="8">
        <v>1.92</v>
      </c>
      <c r="E38" s="12">
        <v>3</v>
      </c>
      <c r="F38" s="8">
        <v>0.33</v>
      </c>
      <c r="G38" s="12">
        <v>26</v>
      </c>
      <c r="H38" s="8">
        <v>4.41</v>
      </c>
      <c r="I38" s="12">
        <v>0</v>
      </c>
    </row>
    <row r="39" spans="2:9" ht="15" customHeight="1" x14ac:dyDescent="0.2">
      <c r="B39" t="s">
        <v>103</v>
      </c>
      <c r="C39" s="12">
        <v>26</v>
      </c>
      <c r="D39" s="8">
        <v>1.73</v>
      </c>
      <c r="E39" s="12">
        <v>13</v>
      </c>
      <c r="F39" s="8">
        <v>1.44</v>
      </c>
      <c r="G39" s="12">
        <v>13</v>
      </c>
      <c r="H39" s="8">
        <v>2.2000000000000002</v>
      </c>
      <c r="I39" s="12">
        <v>0</v>
      </c>
    </row>
    <row r="40" spans="2:9" ht="15" customHeight="1" x14ac:dyDescent="0.2">
      <c r="B40" t="s">
        <v>109</v>
      </c>
      <c r="C40" s="12">
        <v>23</v>
      </c>
      <c r="D40" s="8">
        <v>1.53</v>
      </c>
      <c r="E40" s="12">
        <v>6</v>
      </c>
      <c r="F40" s="8">
        <v>0.67</v>
      </c>
      <c r="G40" s="12">
        <v>17</v>
      </c>
      <c r="H40" s="8">
        <v>2.88</v>
      </c>
      <c r="I40" s="12">
        <v>0</v>
      </c>
    </row>
    <row r="41" spans="2:9" ht="15" customHeight="1" x14ac:dyDescent="0.2">
      <c r="B41" t="s">
        <v>96</v>
      </c>
      <c r="C41" s="12">
        <v>21</v>
      </c>
      <c r="D41" s="8">
        <v>1.39</v>
      </c>
      <c r="E41" s="12">
        <v>10</v>
      </c>
      <c r="F41" s="8">
        <v>1.1100000000000001</v>
      </c>
      <c r="G41" s="12">
        <v>11</v>
      </c>
      <c r="H41" s="8">
        <v>1.86</v>
      </c>
      <c r="I41" s="12">
        <v>0</v>
      </c>
    </row>
    <row r="42" spans="2:9" ht="15" customHeight="1" x14ac:dyDescent="0.2">
      <c r="B42" t="s">
        <v>102</v>
      </c>
      <c r="C42" s="12">
        <v>21</v>
      </c>
      <c r="D42" s="8">
        <v>1.39</v>
      </c>
      <c r="E42" s="12">
        <v>0</v>
      </c>
      <c r="F42" s="8">
        <v>0</v>
      </c>
      <c r="G42" s="12">
        <v>21</v>
      </c>
      <c r="H42" s="8">
        <v>3.56</v>
      </c>
      <c r="I42" s="12">
        <v>0</v>
      </c>
    </row>
    <row r="43" spans="2:9" ht="15" customHeight="1" x14ac:dyDescent="0.2">
      <c r="B43" t="s">
        <v>112</v>
      </c>
      <c r="C43" s="12">
        <v>18</v>
      </c>
      <c r="D43" s="8">
        <v>1.19</v>
      </c>
      <c r="E43" s="12">
        <v>9</v>
      </c>
      <c r="F43" s="8">
        <v>1</v>
      </c>
      <c r="G43" s="12">
        <v>7</v>
      </c>
      <c r="H43" s="8">
        <v>1.19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93</v>
      </c>
      <c r="D47" s="8">
        <v>6.17</v>
      </c>
      <c r="E47" s="12">
        <v>91</v>
      </c>
      <c r="F47" s="8">
        <v>10.09</v>
      </c>
      <c r="G47" s="12">
        <v>2</v>
      </c>
      <c r="H47" s="8">
        <v>0.34</v>
      </c>
      <c r="I47" s="12">
        <v>0</v>
      </c>
    </row>
    <row r="48" spans="2:9" ht="15" customHeight="1" x14ac:dyDescent="0.2">
      <c r="B48" t="s">
        <v>161</v>
      </c>
      <c r="C48" s="12">
        <v>59</v>
      </c>
      <c r="D48" s="8">
        <v>3.92</v>
      </c>
      <c r="E48" s="12">
        <v>51</v>
      </c>
      <c r="F48" s="8">
        <v>5.65</v>
      </c>
      <c r="G48" s="12">
        <v>8</v>
      </c>
      <c r="H48" s="8">
        <v>1.36</v>
      </c>
      <c r="I48" s="12">
        <v>0</v>
      </c>
    </row>
    <row r="49" spans="2:9" ht="15" customHeight="1" x14ac:dyDescent="0.2">
      <c r="B49" t="s">
        <v>162</v>
      </c>
      <c r="C49" s="12">
        <v>59</v>
      </c>
      <c r="D49" s="8">
        <v>3.92</v>
      </c>
      <c r="E49" s="12">
        <v>57</v>
      </c>
      <c r="F49" s="8">
        <v>6.32</v>
      </c>
      <c r="G49" s="12">
        <v>2</v>
      </c>
      <c r="H49" s="8">
        <v>0.34</v>
      </c>
      <c r="I49" s="12">
        <v>0</v>
      </c>
    </row>
    <row r="50" spans="2:9" ht="15" customHeight="1" x14ac:dyDescent="0.2">
      <c r="B50" t="s">
        <v>163</v>
      </c>
      <c r="C50" s="12">
        <v>55</v>
      </c>
      <c r="D50" s="8">
        <v>3.65</v>
      </c>
      <c r="E50" s="12">
        <v>54</v>
      </c>
      <c r="F50" s="8">
        <v>5.99</v>
      </c>
      <c r="G50" s="12">
        <v>1</v>
      </c>
      <c r="H50" s="8">
        <v>0.17</v>
      </c>
      <c r="I50" s="12">
        <v>0</v>
      </c>
    </row>
    <row r="51" spans="2:9" ht="15" customHeight="1" x14ac:dyDescent="0.2">
      <c r="B51" t="s">
        <v>193</v>
      </c>
      <c r="C51" s="12">
        <v>50</v>
      </c>
      <c r="D51" s="8">
        <v>3.32</v>
      </c>
      <c r="E51" s="12">
        <v>49</v>
      </c>
      <c r="F51" s="8">
        <v>5.43</v>
      </c>
      <c r="G51" s="12">
        <v>1</v>
      </c>
      <c r="H51" s="8">
        <v>0.17</v>
      </c>
      <c r="I51" s="12">
        <v>0</v>
      </c>
    </row>
    <row r="52" spans="2:9" ht="15" customHeight="1" x14ac:dyDescent="0.2">
      <c r="B52" t="s">
        <v>150</v>
      </c>
      <c r="C52" s="12">
        <v>45</v>
      </c>
      <c r="D52" s="8">
        <v>2.99</v>
      </c>
      <c r="E52" s="12">
        <v>33</v>
      </c>
      <c r="F52" s="8">
        <v>3.66</v>
      </c>
      <c r="G52" s="12">
        <v>12</v>
      </c>
      <c r="H52" s="8">
        <v>2.0299999999999998</v>
      </c>
      <c r="I52" s="12">
        <v>0</v>
      </c>
    </row>
    <row r="53" spans="2:9" ht="15" customHeight="1" x14ac:dyDescent="0.2">
      <c r="B53" t="s">
        <v>194</v>
      </c>
      <c r="C53" s="12">
        <v>43</v>
      </c>
      <c r="D53" s="8">
        <v>2.85</v>
      </c>
      <c r="E53" s="12">
        <v>35</v>
      </c>
      <c r="F53" s="8">
        <v>3.88</v>
      </c>
      <c r="G53" s="12">
        <v>8</v>
      </c>
      <c r="H53" s="8">
        <v>1.36</v>
      </c>
      <c r="I53" s="12">
        <v>0</v>
      </c>
    </row>
    <row r="54" spans="2:9" ht="15" customHeight="1" x14ac:dyDescent="0.2">
      <c r="B54" t="s">
        <v>165</v>
      </c>
      <c r="C54" s="12">
        <v>36</v>
      </c>
      <c r="D54" s="8">
        <v>2.39</v>
      </c>
      <c r="E54" s="12">
        <v>27</v>
      </c>
      <c r="F54" s="8">
        <v>2.99</v>
      </c>
      <c r="G54" s="12">
        <v>9</v>
      </c>
      <c r="H54" s="8">
        <v>1.53</v>
      </c>
      <c r="I54" s="12">
        <v>0</v>
      </c>
    </row>
    <row r="55" spans="2:9" ht="15" customHeight="1" x14ac:dyDescent="0.2">
      <c r="B55" t="s">
        <v>154</v>
      </c>
      <c r="C55" s="12">
        <v>35</v>
      </c>
      <c r="D55" s="8">
        <v>2.3199999999999998</v>
      </c>
      <c r="E55" s="12">
        <v>23</v>
      </c>
      <c r="F55" s="8">
        <v>2.5499999999999998</v>
      </c>
      <c r="G55" s="12">
        <v>12</v>
      </c>
      <c r="H55" s="8">
        <v>2.0299999999999998</v>
      </c>
      <c r="I55" s="12">
        <v>0</v>
      </c>
    </row>
    <row r="56" spans="2:9" ht="15" customHeight="1" x14ac:dyDescent="0.2">
      <c r="B56" t="s">
        <v>158</v>
      </c>
      <c r="C56" s="12">
        <v>31</v>
      </c>
      <c r="D56" s="8">
        <v>2.06</v>
      </c>
      <c r="E56" s="12">
        <v>18</v>
      </c>
      <c r="F56" s="8">
        <v>2</v>
      </c>
      <c r="G56" s="12">
        <v>13</v>
      </c>
      <c r="H56" s="8">
        <v>2.2000000000000002</v>
      </c>
      <c r="I56" s="12">
        <v>0</v>
      </c>
    </row>
    <row r="57" spans="2:9" ht="15" customHeight="1" x14ac:dyDescent="0.2">
      <c r="B57" t="s">
        <v>148</v>
      </c>
      <c r="C57" s="12">
        <v>28</v>
      </c>
      <c r="D57" s="8">
        <v>1.86</v>
      </c>
      <c r="E57" s="12">
        <v>11</v>
      </c>
      <c r="F57" s="8">
        <v>1.22</v>
      </c>
      <c r="G57" s="12">
        <v>17</v>
      </c>
      <c r="H57" s="8">
        <v>2.88</v>
      </c>
      <c r="I57" s="12">
        <v>0</v>
      </c>
    </row>
    <row r="58" spans="2:9" ht="15" customHeight="1" x14ac:dyDescent="0.2">
      <c r="B58" t="s">
        <v>166</v>
      </c>
      <c r="C58" s="12">
        <v>28</v>
      </c>
      <c r="D58" s="8">
        <v>1.86</v>
      </c>
      <c r="E58" s="12">
        <v>26</v>
      </c>
      <c r="F58" s="8">
        <v>2.88</v>
      </c>
      <c r="G58" s="12">
        <v>2</v>
      </c>
      <c r="H58" s="8">
        <v>0.34</v>
      </c>
      <c r="I58" s="12">
        <v>0</v>
      </c>
    </row>
    <row r="59" spans="2:9" ht="15" customHeight="1" x14ac:dyDescent="0.2">
      <c r="B59" t="s">
        <v>167</v>
      </c>
      <c r="C59" s="12">
        <v>26</v>
      </c>
      <c r="D59" s="8">
        <v>1.73</v>
      </c>
      <c r="E59" s="12">
        <v>13</v>
      </c>
      <c r="F59" s="8">
        <v>1.44</v>
      </c>
      <c r="G59" s="12">
        <v>13</v>
      </c>
      <c r="H59" s="8">
        <v>2.2000000000000002</v>
      </c>
      <c r="I59" s="12">
        <v>0</v>
      </c>
    </row>
    <row r="60" spans="2:9" ht="15" customHeight="1" x14ac:dyDescent="0.2">
      <c r="B60" t="s">
        <v>190</v>
      </c>
      <c r="C60" s="12">
        <v>25</v>
      </c>
      <c r="D60" s="8">
        <v>1.66</v>
      </c>
      <c r="E60" s="12">
        <v>18</v>
      </c>
      <c r="F60" s="8">
        <v>2</v>
      </c>
      <c r="G60" s="12">
        <v>7</v>
      </c>
      <c r="H60" s="8">
        <v>1.19</v>
      </c>
      <c r="I60" s="12">
        <v>0</v>
      </c>
    </row>
    <row r="61" spans="2:9" ht="15" customHeight="1" x14ac:dyDescent="0.2">
      <c r="B61" t="s">
        <v>155</v>
      </c>
      <c r="C61" s="12">
        <v>24</v>
      </c>
      <c r="D61" s="8">
        <v>1.59</v>
      </c>
      <c r="E61" s="12">
        <v>13</v>
      </c>
      <c r="F61" s="8">
        <v>1.44</v>
      </c>
      <c r="G61" s="12">
        <v>11</v>
      </c>
      <c r="H61" s="8">
        <v>1.86</v>
      </c>
      <c r="I61" s="12">
        <v>0</v>
      </c>
    </row>
    <row r="62" spans="2:9" ht="15" customHeight="1" x14ac:dyDescent="0.2">
      <c r="B62" t="s">
        <v>156</v>
      </c>
      <c r="C62" s="12">
        <v>24</v>
      </c>
      <c r="D62" s="8">
        <v>1.59</v>
      </c>
      <c r="E62" s="12">
        <v>15</v>
      </c>
      <c r="F62" s="8">
        <v>1.66</v>
      </c>
      <c r="G62" s="12">
        <v>9</v>
      </c>
      <c r="H62" s="8">
        <v>1.53</v>
      </c>
      <c r="I62" s="12">
        <v>0</v>
      </c>
    </row>
    <row r="63" spans="2:9" ht="15" customHeight="1" x14ac:dyDescent="0.2">
      <c r="B63" t="s">
        <v>169</v>
      </c>
      <c r="C63" s="12">
        <v>24</v>
      </c>
      <c r="D63" s="8">
        <v>1.59</v>
      </c>
      <c r="E63" s="12">
        <v>15</v>
      </c>
      <c r="F63" s="8">
        <v>1.66</v>
      </c>
      <c r="G63" s="12">
        <v>9</v>
      </c>
      <c r="H63" s="8">
        <v>1.53</v>
      </c>
      <c r="I63" s="12">
        <v>0</v>
      </c>
    </row>
    <row r="64" spans="2:9" ht="15" customHeight="1" x14ac:dyDescent="0.2">
      <c r="B64" t="s">
        <v>152</v>
      </c>
      <c r="C64" s="12">
        <v>23</v>
      </c>
      <c r="D64" s="8">
        <v>1.53</v>
      </c>
      <c r="E64" s="12">
        <v>12</v>
      </c>
      <c r="F64" s="8">
        <v>1.33</v>
      </c>
      <c r="G64" s="12">
        <v>11</v>
      </c>
      <c r="H64" s="8">
        <v>1.86</v>
      </c>
      <c r="I64" s="12">
        <v>0</v>
      </c>
    </row>
    <row r="65" spans="2:9" ht="15" customHeight="1" x14ac:dyDescent="0.2">
      <c r="B65" t="s">
        <v>195</v>
      </c>
      <c r="C65" s="12">
        <v>22</v>
      </c>
      <c r="D65" s="8">
        <v>1.46</v>
      </c>
      <c r="E65" s="12">
        <v>20</v>
      </c>
      <c r="F65" s="8">
        <v>2.2200000000000002</v>
      </c>
      <c r="G65" s="12">
        <v>2</v>
      </c>
      <c r="H65" s="8">
        <v>0.34</v>
      </c>
      <c r="I65" s="12">
        <v>0</v>
      </c>
    </row>
    <row r="66" spans="2:9" ht="15" customHeight="1" x14ac:dyDescent="0.2">
      <c r="B66" t="s">
        <v>177</v>
      </c>
      <c r="C66" s="12">
        <v>20</v>
      </c>
      <c r="D66" s="8">
        <v>1.33</v>
      </c>
      <c r="E66" s="12">
        <v>9</v>
      </c>
      <c r="F66" s="8">
        <v>1</v>
      </c>
      <c r="G66" s="12">
        <v>11</v>
      </c>
      <c r="H66" s="8">
        <v>1.86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B9197-1EBA-4528-B446-28C2EC529A0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263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2</v>
      </c>
      <c r="D5" s="8">
        <v>7.0000000000000007E-2</v>
      </c>
      <c r="E5" s="12">
        <v>0</v>
      </c>
      <c r="F5" s="8">
        <v>0</v>
      </c>
      <c r="G5" s="12">
        <v>2</v>
      </c>
      <c r="H5" s="8">
        <v>0.12</v>
      </c>
      <c r="I5" s="12">
        <v>0</v>
      </c>
    </row>
    <row r="6" spans="2:9" ht="15" customHeight="1" x14ac:dyDescent="0.2">
      <c r="B6" t="s">
        <v>62</v>
      </c>
      <c r="C6" s="12">
        <v>481</v>
      </c>
      <c r="D6" s="8">
        <v>16.97</v>
      </c>
      <c r="E6" s="12">
        <v>79</v>
      </c>
      <c r="F6" s="8">
        <v>6.65</v>
      </c>
      <c r="G6" s="12">
        <v>402</v>
      </c>
      <c r="H6" s="8">
        <v>24.6</v>
      </c>
      <c r="I6" s="12">
        <v>0</v>
      </c>
    </row>
    <row r="7" spans="2:9" ht="15" customHeight="1" x14ac:dyDescent="0.2">
      <c r="B7" t="s">
        <v>63</v>
      </c>
      <c r="C7" s="12">
        <v>106</v>
      </c>
      <c r="D7" s="8">
        <v>3.74</v>
      </c>
      <c r="E7" s="12">
        <v>23</v>
      </c>
      <c r="F7" s="8">
        <v>1.94</v>
      </c>
      <c r="G7" s="12">
        <v>83</v>
      </c>
      <c r="H7" s="8">
        <v>5.08</v>
      </c>
      <c r="I7" s="12">
        <v>0</v>
      </c>
    </row>
    <row r="8" spans="2:9" ht="15" customHeight="1" x14ac:dyDescent="0.2">
      <c r="B8" t="s">
        <v>64</v>
      </c>
      <c r="C8" s="12">
        <v>6</v>
      </c>
      <c r="D8" s="8">
        <v>0.21</v>
      </c>
      <c r="E8" s="12">
        <v>0</v>
      </c>
      <c r="F8" s="8">
        <v>0</v>
      </c>
      <c r="G8" s="12">
        <v>6</v>
      </c>
      <c r="H8" s="8">
        <v>0.37</v>
      </c>
      <c r="I8" s="12">
        <v>0</v>
      </c>
    </row>
    <row r="9" spans="2:9" ht="15" customHeight="1" x14ac:dyDescent="0.2">
      <c r="B9" t="s">
        <v>65</v>
      </c>
      <c r="C9" s="12">
        <v>24</v>
      </c>
      <c r="D9" s="8">
        <v>0.85</v>
      </c>
      <c r="E9" s="12">
        <v>0</v>
      </c>
      <c r="F9" s="8">
        <v>0</v>
      </c>
      <c r="G9" s="12">
        <v>24</v>
      </c>
      <c r="H9" s="8">
        <v>1.47</v>
      </c>
      <c r="I9" s="12">
        <v>0</v>
      </c>
    </row>
    <row r="10" spans="2:9" ht="15" customHeight="1" x14ac:dyDescent="0.2">
      <c r="B10" t="s">
        <v>66</v>
      </c>
      <c r="C10" s="12">
        <v>44</v>
      </c>
      <c r="D10" s="8">
        <v>1.55</v>
      </c>
      <c r="E10" s="12">
        <v>2</v>
      </c>
      <c r="F10" s="8">
        <v>0.17</v>
      </c>
      <c r="G10" s="12">
        <v>42</v>
      </c>
      <c r="H10" s="8">
        <v>2.57</v>
      </c>
      <c r="I10" s="12">
        <v>0</v>
      </c>
    </row>
    <row r="11" spans="2:9" ht="15" customHeight="1" x14ac:dyDescent="0.2">
      <c r="B11" t="s">
        <v>67</v>
      </c>
      <c r="C11" s="12">
        <v>669</v>
      </c>
      <c r="D11" s="8">
        <v>23.6</v>
      </c>
      <c r="E11" s="12">
        <v>203</v>
      </c>
      <c r="F11" s="8">
        <v>17.09</v>
      </c>
      <c r="G11" s="12">
        <v>466</v>
      </c>
      <c r="H11" s="8">
        <v>28.52</v>
      </c>
      <c r="I11" s="12">
        <v>0</v>
      </c>
    </row>
    <row r="12" spans="2:9" ht="15" customHeight="1" x14ac:dyDescent="0.2">
      <c r="B12" t="s">
        <v>68</v>
      </c>
      <c r="C12" s="12">
        <v>27</v>
      </c>
      <c r="D12" s="8">
        <v>0.95</v>
      </c>
      <c r="E12" s="12">
        <v>4</v>
      </c>
      <c r="F12" s="8">
        <v>0.34</v>
      </c>
      <c r="G12" s="12">
        <v>23</v>
      </c>
      <c r="H12" s="8">
        <v>1.41</v>
      </c>
      <c r="I12" s="12">
        <v>0</v>
      </c>
    </row>
    <row r="13" spans="2:9" ht="15" customHeight="1" x14ac:dyDescent="0.2">
      <c r="B13" t="s">
        <v>69</v>
      </c>
      <c r="C13" s="12">
        <v>194</v>
      </c>
      <c r="D13" s="8">
        <v>6.84</v>
      </c>
      <c r="E13" s="12">
        <v>21</v>
      </c>
      <c r="F13" s="8">
        <v>1.77</v>
      </c>
      <c r="G13" s="12">
        <v>173</v>
      </c>
      <c r="H13" s="8">
        <v>10.59</v>
      </c>
      <c r="I13" s="12">
        <v>0</v>
      </c>
    </row>
    <row r="14" spans="2:9" ht="15" customHeight="1" x14ac:dyDescent="0.2">
      <c r="B14" t="s">
        <v>70</v>
      </c>
      <c r="C14" s="12">
        <v>145</v>
      </c>
      <c r="D14" s="8">
        <v>5.1100000000000003</v>
      </c>
      <c r="E14" s="12">
        <v>65</v>
      </c>
      <c r="F14" s="8">
        <v>5.47</v>
      </c>
      <c r="G14" s="12">
        <v>79</v>
      </c>
      <c r="H14" s="8">
        <v>4.83</v>
      </c>
      <c r="I14" s="12">
        <v>0</v>
      </c>
    </row>
    <row r="15" spans="2:9" ht="15" customHeight="1" x14ac:dyDescent="0.2">
      <c r="B15" t="s">
        <v>71</v>
      </c>
      <c r="C15" s="12">
        <v>407</v>
      </c>
      <c r="D15" s="8">
        <v>14.36</v>
      </c>
      <c r="E15" s="12">
        <v>321</v>
      </c>
      <c r="F15" s="8">
        <v>27.02</v>
      </c>
      <c r="G15" s="12">
        <v>85</v>
      </c>
      <c r="H15" s="8">
        <v>5.2</v>
      </c>
      <c r="I15" s="12">
        <v>0</v>
      </c>
    </row>
    <row r="16" spans="2:9" ht="15" customHeight="1" x14ac:dyDescent="0.2">
      <c r="B16" t="s">
        <v>72</v>
      </c>
      <c r="C16" s="12">
        <v>390</v>
      </c>
      <c r="D16" s="8">
        <v>13.76</v>
      </c>
      <c r="E16" s="12">
        <v>296</v>
      </c>
      <c r="F16" s="8">
        <v>24.92</v>
      </c>
      <c r="G16" s="12">
        <v>94</v>
      </c>
      <c r="H16" s="8">
        <v>5.75</v>
      </c>
      <c r="I16" s="12">
        <v>0</v>
      </c>
    </row>
    <row r="17" spans="2:9" ht="15" customHeight="1" x14ac:dyDescent="0.2">
      <c r="B17" t="s">
        <v>73</v>
      </c>
      <c r="C17" s="12">
        <v>91</v>
      </c>
      <c r="D17" s="8">
        <v>3.21</v>
      </c>
      <c r="E17" s="12">
        <v>57</v>
      </c>
      <c r="F17" s="8">
        <v>4.8</v>
      </c>
      <c r="G17" s="12">
        <v>24</v>
      </c>
      <c r="H17" s="8">
        <v>1.47</v>
      </c>
      <c r="I17" s="12">
        <v>0</v>
      </c>
    </row>
    <row r="18" spans="2:9" ht="15" customHeight="1" x14ac:dyDescent="0.2">
      <c r="B18" t="s">
        <v>74</v>
      </c>
      <c r="C18" s="12">
        <v>142</v>
      </c>
      <c r="D18" s="8">
        <v>5.01</v>
      </c>
      <c r="E18" s="12">
        <v>84</v>
      </c>
      <c r="F18" s="8">
        <v>7.07</v>
      </c>
      <c r="G18" s="12">
        <v>57</v>
      </c>
      <c r="H18" s="8">
        <v>3.49</v>
      </c>
      <c r="I18" s="12">
        <v>0</v>
      </c>
    </row>
    <row r="19" spans="2:9" ht="15" customHeight="1" x14ac:dyDescent="0.2">
      <c r="B19" t="s">
        <v>75</v>
      </c>
      <c r="C19" s="12">
        <v>107</v>
      </c>
      <c r="D19" s="8">
        <v>3.77</v>
      </c>
      <c r="E19" s="12">
        <v>33</v>
      </c>
      <c r="F19" s="8">
        <v>2.78</v>
      </c>
      <c r="G19" s="12">
        <v>74</v>
      </c>
      <c r="H19" s="8">
        <v>4.53</v>
      </c>
      <c r="I19" s="12">
        <v>0</v>
      </c>
    </row>
    <row r="20" spans="2:9" ht="15" customHeight="1" x14ac:dyDescent="0.2">
      <c r="B20" s="9" t="s">
        <v>248</v>
      </c>
      <c r="C20" s="12">
        <f>SUM(LTBL_12206[総数／事業所数])</f>
        <v>2835</v>
      </c>
      <c r="E20" s="12">
        <f>SUBTOTAL(109,LTBL_12206[個人／事業所数])</f>
        <v>1188</v>
      </c>
      <c r="G20" s="12">
        <f>SUBTOTAL(109,LTBL_12206[法人／事業所数])</f>
        <v>1634</v>
      </c>
      <c r="I20" s="12">
        <f>SUBTOTAL(109,LTBL_12206[法人以外の団体／事業所数])</f>
        <v>0</v>
      </c>
    </row>
    <row r="21" spans="2:9" ht="15" customHeight="1" x14ac:dyDescent="0.2">
      <c r="E21" s="11">
        <f>LTBL_12206[[#Totals],[個人／事業所数]]/LTBL_12206[[#Totals],[総数／事業所数]]</f>
        <v>0.41904761904761906</v>
      </c>
      <c r="G21" s="11">
        <f>LTBL_12206[[#Totals],[法人／事業所数]]/LTBL_12206[[#Totals],[総数／事業所数]]</f>
        <v>0.57636684303350971</v>
      </c>
      <c r="I21" s="11">
        <f>LTBL_12206[[#Totals],[法人以外の団体／事業所数]]/LTBL_12206[[#Totals],[総数／事業所数]]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97</v>
      </c>
      <c r="C24" s="12">
        <v>376</v>
      </c>
      <c r="D24" s="8">
        <v>13.26</v>
      </c>
      <c r="E24" s="12">
        <v>314</v>
      </c>
      <c r="F24" s="8">
        <v>26.43</v>
      </c>
      <c r="G24" s="12">
        <v>62</v>
      </c>
      <c r="H24" s="8">
        <v>3.79</v>
      </c>
      <c r="I24" s="12">
        <v>0</v>
      </c>
    </row>
    <row r="25" spans="2:9" ht="15" customHeight="1" x14ac:dyDescent="0.2">
      <c r="B25" t="s">
        <v>98</v>
      </c>
      <c r="C25" s="12">
        <v>340</v>
      </c>
      <c r="D25" s="8">
        <v>11.99</v>
      </c>
      <c r="E25" s="12">
        <v>279</v>
      </c>
      <c r="F25" s="8">
        <v>23.48</v>
      </c>
      <c r="G25" s="12">
        <v>61</v>
      </c>
      <c r="H25" s="8">
        <v>3.73</v>
      </c>
      <c r="I25" s="12">
        <v>0</v>
      </c>
    </row>
    <row r="26" spans="2:9" ht="15" customHeight="1" x14ac:dyDescent="0.2">
      <c r="B26" t="s">
        <v>92</v>
      </c>
      <c r="C26" s="12">
        <v>197</v>
      </c>
      <c r="D26" s="8">
        <v>6.95</v>
      </c>
      <c r="E26" s="12">
        <v>68</v>
      </c>
      <c r="F26" s="8">
        <v>5.72</v>
      </c>
      <c r="G26" s="12">
        <v>129</v>
      </c>
      <c r="H26" s="8">
        <v>7.89</v>
      </c>
      <c r="I26" s="12">
        <v>0</v>
      </c>
    </row>
    <row r="27" spans="2:9" ht="15" customHeight="1" x14ac:dyDescent="0.2">
      <c r="B27" t="s">
        <v>84</v>
      </c>
      <c r="C27" s="12">
        <v>190</v>
      </c>
      <c r="D27" s="8">
        <v>6.7</v>
      </c>
      <c r="E27" s="12">
        <v>24</v>
      </c>
      <c r="F27" s="8">
        <v>2.02</v>
      </c>
      <c r="G27" s="12">
        <v>166</v>
      </c>
      <c r="H27" s="8">
        <v>10.16</v>
      </c>
      <c r="I27" s="12">
        <v>0</v>
      </c>
    </row>
    <row r="28" spans="2:9" ht="15" customHeight="1" x14ac:dyDescent="0.2">
      <c r="B28" t="s">
        <v>85</v>
      </c>
      <c r="C28" s="12">
        <v>151</v>
      </c>
      <c r="D28" s="8">
        <v>5.33</v>
      </c>
      <c r="E28" s="12">
        <v>41</v>
      </c>
      <c r="F28" s="8">
        <v>3.45</v>
      </c>
      <c r="G28" s="12">
        <v>110</v>
      </c>
      <c r="H28" s="8">
        <v>6.73</v>
      </c>
      <c r="I28" s="12">
        <v>0</v>
      </c>
    </row>
    <row r="29" spans="2:9" ht="15" customHeight="1" x14ac:dyDescent="0.2">
      <c r="B29" t="s">
        <v>86</v>
      </c>
      <c r="C29" s="12">
        <v>140</v>
      </c>
      <c r="D29" s="8">
        <v>4.9400000000000004</v>
      </c>
      <c r="E29" s="12">
        <v>14</v>
      </c>
      <c r="F29" s="8">
        <v>1.18</v>
      </c>
      <c r="G29" s="12">
        <v>126</v>
      </c>
      <c r="H29" s="8">
        <v>7.71</v>
      </c>
      <c r="I29" s="12">
        <v>0</v>
      </c>
    </row>
    <row r="30" spans="2:9" ht="15" customHeight="1" x14ac:dyDescent="0.2">
      <c r="B30" t="s">
        <v>89</v>
      </c>
      <c r="C30" s="12">
        <v>128</v>
      </c>
      <c r="D30" s="8">
        <v>4.51</v>
      </c>
      <c r="E30" s="12">
        <v>27</v>
      </c>
      <c r="F30" s="8">
        <v>2.27</v>
      </c>
      <c r="G30" s="12">
        <v>101</v>
      </c>
      <c r="H30" s="8">
        <v>6.18</v>
      </c>
      <c r="I30" s="12">
        <v>0</v>
      </c>
    </row>
    <row r="31" spans="2:9" ht="15" customHeight="1" x14ac:dyDescent="0.2">
      <c r="B31" t="s">
        <v>94</v>
      </c>
      <c r="C31" s="12">
        <v>119</v>
      </c>
      <c r="D31" s="8">
        <v>4.2</v>
      </c>
      <c r="E31" s="12">
        <v>18</v>
      </c>
      <c r="F31" s="8">
        <v>1.52</v>
      </c>
      <c r="G31" s="12">
        <v>101</v>
      </c>
      <c r="H31" s="8">
        <v>6.18</v>
      </c>
      <c r="I31" s="12">
        <v>0</v>
      </c>
    </row>
    <row r="32" spans="2:9" ht="15" customHeight="1" x14ac:dyDescent="0.2">
      <c r="B32" t="s">
        <v>90</v>
      </c>
      <c r="C32" s="12">
        <v>95</v>
      </c>
      <c r="D32" s="8">
        <v>3.35</v>
      </c>
      <c r="E32" s="12">
        <v>66</v>
      </c>
      <c r="F32" s="8">
        <v>5.56</v>
      </c>
      <c r="G32" s="12">
        <v>29</v>
      </c>
      <c r="H32" s="8">
        <v>1.77</v>
      </c>
      <c r="I32" s="12">
        <v>0</v>
      </c>
    </row>
    <row r="33" spans="2:9" ht="15" customHeight="1" x14ac:dyDescent="0.2">
      <c r="B33" t="s">
        <v>101</v>
      </c>
      <c r="C33" s="12">
        <v>92</v>
      </c>
      <c r="D33" s="8">
        <v>3.25</v>
      </c>
      <c r="E33" s="12">
        <v>79</v>
      </c>
      <c r="F33" s="8">
        <v>6.65</v>
      </c>
      <c r="G33" s="12">
        <v>13</v>
      </c>
      <c r="H33" s="8">
        <v>0.8</v>
      </c>
      <c r="I33" s="12">
        <v>0</v>
      </c>
    </row>
    <row r="34" spans="2:9" ht="15" customHeight="1" x14ac:dyDescent="0.2">
      <c r="B34" t="s">
        <v>100</v>
      </c>
      <c r="C34" s="12">
        <v>91</v>
      </c>
      <c r="D34" s="8">
        <v>3.21</v>
      </c>
      <c r="E34" s="12">
        <v>57</v>
      </c>
      <c r="F34" s="8">
        <v>4.8</v>
      </c>
      <c r="G34" s="12">
        <v>24</v>
      </c>
      <c r="H34" s="8">
        <v>1.47</v>
      </c>
      <c r="I34" s="12">
        <v>0</v>
      </c>
    </row>
    <row r="35" spans="2:9" ht="15" customHeight="1" x14ac:dyDescent="0.2">
      <c r="B35" t="s">
        <v>95</v>
      </c>
      <c r="C35" s="12">
        <v>85</v>
      </c>
      <c r="D35" s="8">
        <v>3</v>
      </c>
      <c r="E35" s="12">
        <v>52</v>
      </c>
      <c r="F35" s="8">
        <v>4.38</v>
      </c>
      <c r="G35" s="12">
        <v>33</v>
      </c>
      <c r="H35" s="8">
        <v>2.02</v>
      </c>
      <c r="I35" s="12">
        <v>0</v>
      </c>
    </row>
    <row r="36" spans="2:9" ht="15" customHeight="1" x14ac:dyDescent="0.2">
      <c r="B36" t="s">
        <v>91</v>
      </c>
      <c r="C36" s="12">
        <v>81</v>
      </c>
      <c r="D36" s="8">
        <v>2.86</v>
      </c>
      <c r="E36" s="12">
        <v>25</v>
      </c>
      <c r="F36" s="8">
        <v>2.1</v>
      </c>
      <c r="G36" s="12">
        <v>56</v>
      </c>
      <c r="H36" s="8">
        <v>3.43</v>
      </c>
      <c r="I36" s="12">
        <v>0</v>
      </c>
    </row>
    <row r="37" spans="2:9" ht="15" customHeight="1" x14ac:dyDescent="0.2">
      <c r="B37" t="s">
        <v>93</v>
      </c>
      <c r="C37" s="12">
        <v>57</v>
      </c>
      <c r="D37" s="8">
        <v>2.0099999999999998</v>
      </c>
      <c r="E37" s="12">
        <v>1</v>
      </c>
      <c r="F37" s="8">
        <v>0.08</v>
      </c>
      <c r="G37" s="12">
        <v>56</v>
      </c>
      <c r="H37" s="8">
        <v>3.43</v>
      </c>
      <c r="I37" s="12">
        <v>0</v>
      </c>
    </row>
    <row r="38" spans="2:9" ht="15" customHeight="1" x14ac:dyDescent="0.2">
      <c r="B38" t="s">
        <v>96</v>
      </c>
      <c r="C38" s="12">
        <v>57</v>
      </c>
      <c r="D38" s="8">
        <v>2.0099999999999998</v>
      </c>
      <c r="E38" s="12">
        <v>13</v>
      </c>
      <c r="F38" s="8">
        <v>1.0900000000000001</v>
      </c>
      <c r="G38" s="12">
        <v>43</v>
      </c>
      <c r="H38" s="8">
        <v>2.63</v>
      </c>
      <c r="I38" s="12">
        <v>0</v>
      </c>
    </row>
    <row r="39" spans="2:9" ht="15" customHeight="1" x14ac:dyDescent="0.2">
      <c r="B39" t="s">
        <v>102</v>
      </c>
      <c r="C39" s="12">
        <v>50</v>
      </c>
      <c r="D39" s="8">
        <v>1.76</v>
      </c>
      <c r="E39" s="12">
        <v>5</v>
      </c>
      <c r="F39" s="8">
        <v>0.42</v>
      </c>
      <c r="G39" s="12">
        <v>44</v>
      </c>
      <c r="H39" s="8">
        <v>2.69</v>
      </c>
      <c r="I39" s="12">
        <v>0</v>
      </c>
    </row>
    <row r="40" spans="2:9" ht="15" customHeight="1" x14ac:dyDescent="0.2">
      <c r="B40" t="s">
        <v>87</v>
      </c>
      <c r="C40" s="12">
        <v>42</v>
      </c>
      <c r="D40" s="8">
        <v>1.48</v>
      </c>
      <c r="E40" s="12">
        <v>1</v>
      </c>
      <c r="F40" s="8">
        <v>0.08</v>
      </c>
      <c r="G40" s="12">
        <v>41</v>
      </c>
      <c r="H40" s="8">
        <v>2.5099999999999998</v>
      </c>
      <c r="I40" s="12">
        <v>0</v>
      </c>
    </row>
    <row r="41" spans="2:9" ht="15" customHeight="1" x14ac:dyDescent="0.2">
      <c r="B41" t="s">
        <v>103</v>
      </c>
      <c r="C41" s="12">
        <v>41</v>
      </c>
      <c r="D41" s="8">
        <v>1.45</v>
      </c>
      <c r="E41" s="12">
        <v>26</v>
      </c>
      <c r="F41" s="8">
        <v>2.19</v>
      </c>
      <c r="G41" s="12">
        <v>15</v>
      </c>
      <c r="H41" s="8">
        <v>0.92</v>
      </c>
      <c r="I41" s="12">
        <v>0</v>
      </c>
    </row>
    <row r="42" spans="2:9" ht="15" customHeight="1" x14ac:dyDescent="0.2">
      <c r="B42" t="s">
        <v>88</v>
      </c>
      <c r="C42" s="12">
        <v>38</v>
      </c>
      <c r="D42" s="8">
        <v>1.34</v>
      </c>
      <c r="E42" s="12">
        <v>0</v>
      </c>
      <c r="F42" s="8">
        <v>0</v>
      </c>
      <c r="G42" s="12">
        <v>38</v>
      </c>
      <c r="H42" s="8">
        <v>2.33</v>
      </c>
      <c r="I42" s="12">
        <v>0</v>
      </c>
    </row>
    <row r="43" spans="2:9" ht="15" customHeight="1" x14ac:dyDescent="0.2">
      <c r="B43" t="s">
        <v>104</v>
      </c>
      <c r="C43" s="12">
        <v>35</v>
      </c>
      <c r="D43" s="8">
        <v>1.23</v>
      </c>
      <c r="E43" s="12">
        <v>4</v>
      </c>
      <c r="F43" s="8">
        <v>0.34</v>
      </c>
      <c r="G43" s="12">
        <v>31</v>
      </c>
      <c r="H43" s="8">
        <v>1.9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165</v>
      </c>
      <c r="D47" s="8">
        <v>5.82</v>
      </c>
      <c r="E47" s="12">
        <v>145</v>
      </c>
      <c r="F47" s="8">
        <v>12.21</v>
      </c>
      <c r="G47" s="12">
        <v>20</v>
      </c>
      <c r="H47" s="8">
        <v>1.22</v>
      </c>
      <c r="I47" s="12">
        <v>0</v>
      </c>
    </row>
    <row r="48" spans="2:9" ht="15" customHeight="1" x14ac:dyDescent="0.2">
      <c r="B48" t="s">
        <v>162</v>
      </c>
      <c r="C48" s="12">
        <v>116</v>
      </c>
      <c r="D48" s="8">
        <v>4.09</v>
      </c>
      <c r="E48" s="12">
        <v>108</v>
      </c>
      <c r="F48" s="8">
        <v>9.09</v>
      </c>
      <c r="G48" s="12">
        <v>8</v>
      </c>
      <c r="H48" s="8">
        <v>0.49</v>
      </c>
      <c r="I48" s="12">
        <v>0</v>
      </c>
    </row>
    <row r="49" spans="2:9" ht="15" customHeight="1" x14ac:dyDescent="0.2">
      <c r="B49" t="s">
        <v>163</v>
      </c>
      <c r="C49" s="12">
        <v>97</v>
      </c>
      <c r="D49" s="8">
        <v>3.42</v>
      </c>
      <c r="E49" s="12">
        <v>90</v>
      </c>
      <c r="F49" s="8">
        <v>7.58</v>
      </c>
      <c r="G49" s="12">
        <v>7</v>
      </c>
      <c r="H49" s="8">
        <v>0.43</v>
      </c>
      <c r="I49" s="12">
        <v>0</v>
      </c>
    </row>
    <row r="50" spans="2:9" ht="15" customHeight="1" x14ac:dyDescent="0.2">
      <c r="B50" t="s">
        <v>161</v>
      </c>
      <c r="C50" s="12">
        <v>87</v>
      </c>
      <c r="D50" s="8">
        <v>3.07</v>
      </c>
      <c r="E50" s="12">
        <v>61</v>
      </c>
      <c r="F50" s="8">
        <v>5.13</v>
      </c>
      <c r="G50" s="12">
        <v>26</v>
      </c>
      <c r="H50" s="8">
        <v>1.59</v>
      </c>
      <c r="I50" s="12">
        <v>0</v>
      </c>
    </row>
    <row r="51" spans="2:9" ht="15" customHeight="1" x14ac:dyDescent="0.2">
      <c r="B51" t="s">
        <v>177</v>
      </c>
      <c r="C51" s="12">
        <v>64</v>
      </c>
      <c r="D51" s="8">
        <v>2.2599999999999998</v>
      </c>
      <c r="E51" s="12">
        <v>13</v>
      </c>
      <c r="F51" s="8">
        <v>1.0900000000000001</v>
      </c>
      <c r="G51" s="12">
        <v>51</v>
      </c>
      <c r="H51" s="8">
        <v>3.12</v>
      </c>
      <c r="I51" s="12">
        <v>0</v>
      </c>
    </row>
    <row r="52" spans="2:9" ht="15" customHeight="1" x14ac:dyDescent="0.2">
      <c r="B52" t="s">
        <v>156</v>
      </c>
      <c r="C52" s="12">
        <v>64</v>
      </c>
      <c r="D52" s="8">
        <v>2.2599999999999998</v>
      </c>
      <c r="E52" s="12">
        <v>31</v>
      </c>
      <c r="F52" s="8">
        <v>2.61</v>
      </c>
      <c r="G52" s="12">
        <v>33</v>
      </c>
      <c r="H52" s="8">
        <v>2.02</v>
      </c>
      <c r="I52" s="12">
        <v>0</v>
      </c>
    </row>
    <row r="53" spans="2:9" ht="15" customHeight="1" x14ac:dyDescent="0.2">
      <c r="B53" t="s">
        <v>166</v>
      </c>
      <c r="C53" s="12">
        <v>64</v>
      </c>
      <c r="D53" s="8">
        <v>2.2599999999999998</v>
      </c>
      <c r="E53" s="12">
        <v>54</v>
      </c>
      <c r="F53" s="8">
        <v>4.55</v>
      </c>
      <c r="G53" s="12">
        <v>10</v>
      </c>
      <c r="H53" s="8">
        <v>0.61</v>
      </c>
      <c r="I53" s="12">
        <v>0</v>
      </c>
    </row>
    <row r="54" spans="2:9" ht="15" customHeight="1" x14ac:dyDescent="0.2">
      <c r="B54" t="s">
        <v>158</v>
      </c>
      <c r="C54" s="12">
        <v>60</v>
      </c>
      <c r="D54" s="8">
        <v>2.12</v>
      </c>
      <c r="E54" s="12">
        <v>12</v>
      </c>
      <c r="F54" s="8">
        <v>1.01</v>
      </c>
      <c r="G54" s="12">
        <v>48</v>
      </c>
      <c r="H54" s="8">
        <v>2.94</v>
      </c>
      <c r="I54" s="12">
        <v>0</v>
      </c>
    </row>
    <row r="55" spans="2:9" ht="15" customHeight="1" x14ac:dyDescent="0.2">
      <c r="B55" t="s">
        <v>152</v>
      </c>
      <c r="C55" s="12">
        <v>56</v>
      </c>
      <c r="D55" s="8">
        <v>1.98</v>
      </c>
      <c r="E55" s="12">
        <v>8</v>
      </c>
      <c r="F55" s="8">
        <v>0.67</v>
      </c>
      <c r="G55" s="12">
        <v>48</v>
      </c>
      <c r="H55" s="8">
        <v>2.94</v>
      </c>
      <c r="I55" s="12">
        <v>0</v>
      </c>
    </row>
    <row r="56" spans="2:9" ht="15" customHeight="1" x14ac:dyDescent="0.2">
      <c r="B56" t="s">
        <v>148</v>
      </c>
      <c r="C56" s="12">
        <v>54</v>
      </c>
      <c r="D56" s="8">
        <v>1.9</v>
      </c>
      <c r="E56" s="12">
        <v>5</v>
      </c>
      <c r="F56" s="8">
        <v>0.42</v>
      </c>
      <c r="G56" s="12">
        <v>49</v>
      </c>
      <c r="H56" s="8">
        <v>3</v>
      </c>
      <c r="I56" s="12">
        <v>0</v>
      </c>
    </row>
    <row r="57" spans="2:9" ht="15" customHeight="1" x14ac:dyDescent="0.2">
      <c r="B57" t="s">
        <v>153</v>
      </c>
      <c r="C57" s="12">
        <v>54</v>
      </c>
      <c r="D57" s="8">
        <v>1.9</v>
      </c>
      <c r="E57" s="12">
        <v>3</v>
      </c>
      <c r="F57" s="8">
        <v>0.25</v>
      </c>
      <c r="G57" s="12">
        <v>51</v>
      </c>
      <c r="H57" s="8">
        <v>3.12</v>
      </c>
      <c r="I57" s="12">
        <v>0</v>
      </c>
    </row>
    <row r="58" spans="2:9" ht="15" customHeight="1" x14ac:dyDescent="0.2">
      <c r="B58" t="s">
        <v>168</v>
      </c>
      <c r="C58" s="12">
        <v>54</v>
      </c>
      <c r="D58" s="8">
        <v>1.9</v>
      </c>
      <c r="E58" s="12">
        <v>15</v>
      </c>
      <c r="F58" s="8">
        <v>1.26</v>
      </c>
      <c r="G58" s="12">
        <v>39</v>
      </c>
      <c r="H58" s="8">
        <v>2.39</v>
      </c>
      <c r="I58" s="12">
        <v>0</v>
      </c>
    </row>
    <row r="59" spans="2:9" ht="15" customHeight="1" x14ac:dyDescent="0.2">
      <c r="B59" t="s">
        <v>193</v>
      </c>
      <c r="C59" s="12">
        <v>53</v>
      </c>
      <c r="D59" s="8">
        <v>1.87</v>
      </c>
      <c r="E59" s="12">
        <v>47</v>
      </c>
      <c r="F59" s="8">
        <v>3.96</v>
      </c>
      <c r="G59" s="12">
        <v>6</v>
      </c>
      <c r="H59" s="8">
        <v>0.37</v>
      </c>
      <c r="I59" s="12">
        <v>0</v>
      </c>
    </row>
    <row r="60" spans="2:9" ht="15" customHeight="1" x14ac:dyDescent="0.2">
      <c r="B60" t="s">
        <v>165</v>
      </c>
      <c r="C60" s="12">
        <v>52</v>
      </c>
      <c r="D60" s="8">
        <v>1.83</v>
      </c>
      <c r="E60" s="12">
        <v>36</v>
      </c>
      <c r="F60" s="8">
        <v>3.03</v>
      </c>
      <c r="G60" s="12">
        <v>16</v>
      </c>
      <c r="H60" s="8">
        <v>0.98</v>
      </c>
      <c r="I60" s="12">
        <v>0</v>
      </c>
    </row>
    <row r="61" spans="2:9" ht="15" customHeight="1" x14ac:dyDescent="0.2">
      <c r="B61" t="s">
        <v>169</v>
      </c>
      <c r="C61" s="12">
        <v>50</v>
      </c>
      <c r="D61" s="8">
        <v>1.76</v>
      </c>
      <c r="E61" s="12">
        <v>30</v>
      </c>
      <c r="F61" s="8">
        <v>2.5299999999999998</v>
      </c>
      <c r="G61" s="12">
        <v>20</v>
      </c>
      <c r="H61" s="8">
        <v>1.22</v>
      </c>
      <c r="I61" s="12">
        <v>0</v>
      </c>
    </row>
    <row r="62" spans="2:9" ht="15" customHeight="1" x14ac:dyDescent="0.2">
      <c r="B62" t="s">
        <v>150</v>
      </c>
      <c r="C62" s="12">
        <v>48</v>
      </c>
      <c r="D62" s="8">
        <v>1.69</v>
      </c>
      <c r="E62" s="12">
        <v>9</v>
      </c>
      <c r="F62" s="8">
        <v>0.76</v>
      </c>
      <c r="G62" s="12">
        <v>39</v>
      </c>
      <c r="H62" s="8">
        <v>2.39</v>
      </c>
      <c r="I62" s="12">
        <v>0</v>
      </c>
    </row>
    <row r="63" spans="2:9" ht="15" customHeight="1" x14ac:dyDescent="0.2">
      <c r="B63" t="s">
        <v>149</v>
      </c>
      <c r="C63" s="12">
        <v>45</v>
      </c>
      <c r="D63" s="8">
        <v>1.59</v>
      </c>
      <c r="E63" s="12">
        <v>3</v>
      </c>
      <c r="F63" s="8">
        <v>0.25</v>
      </c>
      <c r="G63" s="12">
        <v>42</v>
      </c>
      <c r="H63" s="8">
        <v>2.57</v>
      </c>
      <c r="I63" s="12">
        <v>0</v>
      </c>
    </row>
    <row r="64" spans="2:9" ht="15" customHeight="1" x14ac:dyDescent="0.2">
      <c r="B64" t="s">
        <v>195</v>
      </c>
      <c r="C64" s="12">
        <v>42</v>
      </c>
      <c r="D64" s="8">
        <v>1.48</v>
      </c>
      <c r="E64" s="12">
        <v>41</v>
      </c>
      <c r="F64" s="8">
        <v>3.45</v>
      </c>
      <c r="G64" s="12">
        <v>1</v>
      </c>
      <c r="H64" s="8">
        <v>0.06</v>
      </c>
      <c r="I64" s="12">
        <v>0</v>
      </c>
    </row>
    <row r="65" spans="2:9" ht="15" customHeight="1" x14ac:dyDescent="0.2">
      <c r="B65" t="s">
        <v>167</v>
      </c>
      <c r="C65" s="12">
        <v>41</v>
      </c>
      <c r="D65" s="8">
        <v>1.45</v>
      </c>
      <c r="E65" s="12">
        <v>26</v>
      </c>
      <c r="F65" s="8">
        <v>2.19</v>
      </c>
      <c r="G65" s="12">
        <v>15</v>
      </c>
      <c r="H65" s="8">
        <v>0.92</v>
      </c>
      <c r="I65" s="12">
        <v>0</v>
      </c>
    </row>
    <row r="66" spans="2:9" ht="15" customHeight="1" x14ac:dyDescent="0.2">
      <c r="B66" t="s">
        <v>151</v>
      </c>
      <c r="C66" s="12">
        <v>39</v>
      </c>
      <c r="D66" s="8">
        <v>1.38</v>
      </c>
      <c r="E66" s="12">
        <v>7</v>
      </c>
      <c r="F66" s="8">
        <v>0.59</v>
      </c>
      <c r="G66" s="12">
        <v>32</v>
      </c>
      <c r="H66" s="8">
        <v>1.96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267C6-A3D4-490A-9E4E-7B7FC8FBBD8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264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0.02</v>
      </c>
      <c r="I5" s="12">
        <v>0</v>
      </c>
    </row>
    <row r="6" spans="2:9" ht="15" customHeight="1" x14ac:dyDescent="0.2">
      <c r="B6" t="s">
        <v>62</v>
      </c>
      <c r="C6" s="12">
        <v>1017</v>
      </c>
      <c r="D6" s="8">
        <v>13.63</v>
      </c>
      <c r="E6" s="12">
        <v>112</v>
      </c>
      <c r="F6" s="8">
        <v>3.73</v>
      </c>
      <c r="G6" s="12">
        <v>905</v>
      </c>
      <c r="H6" s="8">
        <v>20.440000000000001</v>
      </c>
      <c r="I6" s="12">
        <v>0</v>
      </c>
    </row>
    <row r="7" spans="2:9" ht="15" customHeight="1" x14ac:dyDescent="0.2">
      <c r="B7" t="s">
        <v>63</v>
      </c>
      <c r="C7" s="12">
        <v>505</v>
      </c>
      <c r="D7" s="8">
        <v>6.77</v>
      </c>
      <c r="E7" s="12">
        <v>115</v>
      </c>
      <c r="F7" s="8">
        <v>3.83</v>
      </c>
      <c r="G7" s="12">
        <v>389</v>
      </c>
      <c r="H7" s="8">
        <v>8.7899999999999991</v>
      </c>
      <c r="I7" s="12">
        <v>1</v>
      </c>
    </row>
    <row r="8" spans="2:9" ht="15" customHeight="1" x14ac:dyDescent="0.2">
      <c r="B8" t="s">
        <v>64</v>
      </c>
      <c r="C8" s="12">
        <v>6</v>
      </c>
      <c r="D8" s="8">
        <v>0.08</v>
      </c>
      <c r="E8" s="12">
        <v>1</v>
      </c>
      <c r="F8" s="8">
        <v>0.03</v>
      </c>
      <c r="G8" s="12">
        <v>5</v>
      </c>
      <c r="H8" s="8">
        <v>0.11</v>
      </c>
      <c r="I8" s="12">
        <v>0</v>
      </c>
    </row>
    <row r="9" spans="2:9" ht="15" customHeight="1" x14ac:dyDescent="0.2">
      <c r="B9" t="s">
        <v>65</v>
      </c>
      <c r="C9" s="12">
        <v>135</v>
      </c>
      <c r="D9" s="8">
        <v>1.81</v>
      </c>
      <c r="E9" s="12">
        <v>4</v>
      </c>
      <c r="F9" s="8">
        <v>0.13</v>
      </c>
      <c r="G9" s="12">
        <v>131</v>
      </c>
      <c r="H9" s="8">
        <v>2.96</v>
      </c>
      <c r="I9" s="12">
        <v>0</v>
      </c>
    </row>
    <row r="10" spans="2:9" ht="15" customHeight="1" x14ac:dyDescent="0.2">
      <c r="B10" t="s">
        <v>66</v>
      </c>
      <c r="C10" s="12">
        <v>67</v>
      </c>
      <c r="D10" s="8">
        <v>0.9</v>
      </c>
      <c r="E10" s="12">
        <v>7</v>
      </c>
      <c r="F10" s="8">
        <v>0.23</v>
      </c>
      <c r="G10" s="12">
        <v>60</v>
      </c>
      <c r="H10" s="8">
        <v>1.36</v>
      </c>
      <c r="I10" s="12">
        <v>0</v>
      </c>
    </row>
    <row r="11" spans="2:9" ht="15" customHeight="1" x14ac:dyDescent="0.2">
      <c r="B11" t="s">
        <v>67</v>
      </c>
      <c r="C11" s="12">
        <v>1453</v>
      </c>
      <c r="D11" s="8">
        <v>19.48</v>
      </c>
      <c r="E11" s="12">
        <v>463</v>
      </c>
      <c r="F11" s="8">
        <v>15.4</v>
      </c>
      <c r="G11" s="12">
        <v>990</v>
      </c>
      <c r="H11" s="8">
        <v>22.36</v>
      </c>
      <c r="I11" s="12">
        <v>0</v>
      </c>
    </row>
    <row r="12" spans="2:9" ht="15" customHeight="1" x14ac:dyDescent="0.2">
      <c r="B12" t="s">
        <v>68</v>
      </c>
      <c r="C12" s="12">
        <v>34</v>
      </c>
      <c r="D12" s="8">
        <v>0.46</v>
      </c>
      <c r="E12" s="12">
        <v>4</v>
      </c>
      <c r="F12" s="8">
        <v>0.13</v>
      </c>
      <c r="G12" s="12">
        <v>30</v>
      </c>
      <c r="H12" s="8">
        <v>0.68</v>
      </c>
      <c r="I12" s="12">
        <v>0</v>
      </c>
    </row>
    <row r="13" spans="2:9" ht="15" customHeight="1" x14ac:dyDescent="0.2">
      <c r="B13" t="s">
        <v>69</v>
      </c>
      <c r="C13" s="12">
        <v>922</v>
      </c>
      <c r="D13" s="8">
        <v>12.36</v>
      </c>
      <c r="E13" s="12">
        <v>212</v>
      </c>
      <c r="F13" s="8">
        <v>7.05</v>
      </c>
      <c r="G13" s="12">
        <v>708</v>
      </c>
      <c r="H13" s="8">
        <v>15.99</v>
      </c>
      <c r="I13" s="12">
        <v>2</v>
      </c>
    </row>
    <row r="14" spans="2:9" ht="15" customHeight="1" x14ac:dyDescent="0.2">
      <c r="B14" t="s">
        <v>70</v>
      </c>
      <c r="C14" s="12">
        <v>437</v>
      </c>
      <c r="D14" s="8">
        <v>5.86</v>
      </c>
      <c r="E14" s="12">
        <v>172</v>
      </c>
      <c r="F14" s="8">
        <v>5.72</v>
      </c>
      <c r="G14" s="12">
        <v>263</v>
      </c>
      <c r="H14" s="8">
        <v>5.94</v>
      </c>
      <c r="I14" s="12">
        <v>1</v>
      </c>
    </row>
    <row r="15" spans="2:9" ht="15" customHeight="1" x14ac:dyDescent="0.2">
      <c r="B15" t="s">
        <v>71</v>
      </c>
      <c r="C15" s="12">
        <v>859</v>
      </c>
      <c r="D15" s="8">
        <v>11.52</v>
      </c>
      <c r="E15" s="12">
        <v>681</v>
      </c>
      <c r="F15" s="8">
        <v>22.65</v>
      </c>
      <c r="G15" s="12">
        <v>178</v>
      </c>
      <c r="H15" s="8">
        <v>4.0199999999999996</v>
      </c>
      <c r="I15" s="12">
        <v>0</v>
      </c>
    </row>
    <row r="16" spans="2:9" ht="15" customHeight="1" x14ac:dyDescent="0.2">
      <c r="B16" t="s">
        <v>72</v>
      </c>
      <c r="C16" s="12">
        <v>1019</v>
      </c>
      <c r="D16" s="8">
        <v>13.66</v>
      </c>
      <c r="E16" s="12">
        <v>714</v>
      </c>
      <c r="F16" s="8">
        <v>23.75</v>
      </c>
      <c r="G16" s="12">
        <v>302</v>
      </c>
      <c r="H16" s="8">
        <v>6.82</v>
      </c>
      <c r="I16" s="12">
        <v>2</v>
      </c>
    </row>
    <row r="17" spans="2:9" ht="15" customHeight="1" x14ac:dyDescent="0.2">
      <c r="B17" t="s">
        <v>73</v>
      </c>
      <c r="C17" s="12">
        <v>311</v>
      </c>
      <c r="D17" s="8">
        <v>4.17</v>
      </c>
      <c r="E17" s="12">
        <v>191</v>
      </c>
      <c r="F17" s="8">
        <v>6.35</v>
      </c>
      <c r="G17" s="12">
        <v>107</v>
      </c>
      <c r="H17" s="8">
        <v>2.42</v>
      </c>
      <c r="I17" s="12">
        <v>0</v>
      </c>
    </row>
    <row r="18" spans="2:9" ht="15" customHeight="1" x14ac:dyDescent="0.2">
      <c r="B18" t="s">
        <v>74</v>
      </c>
      <c r="C18" s="12">
        <v>460</v>
      </c>
      <c r="D18" s="8">
        <v>6.17</v>
      </c>
      <c r="E18" s="12">
        <v>284</v>
      </c>
      <c r="F18" s="8">
        <v>9.4499999999999993</v>
      </c>
      <c r="G18" s="12">
        <v>174</v>
      </c>
      <c r="H18" s="8">
        <v>3.93</v>
      </c>
      <c r="I18" s="12">
        <v>0</v>
      </c>
    </row>
    <row r="19" spans="2:9" ht="15" customHeight="1" x14ac:dyDescent="0.2">
      <c r="B19" t="s">
        <v>75</v>
      </c>
      <c r="C19" s="12">
        <v>233</v>
      </c>
      <c r="D19" s="8">
        <v>3.12</v>
      </c>
      <c r="E19" s="12">
        <v>46</v>
      </c>
      <c r="F19" s="8">
        <v>1.53</v>
      </c>
      <c r="G19" s="12">
        <v>185</v>
      </c>
      <c r="H19" s="8">
        <v>4.18</v>
      </c>
      <c r="I19" s="12">
        <v>0</v>
      </c>
    </row>
    <row r="20" spans="2:9" ht="15" customHeight="1" x14ac:dyDescent="0.2">
      <c r="B20" s="9" t="s">
        <v>248</v>
      </c>
      <c r="C20" s="12">
        <f>SUM(LTBL_12207[総数／事業所数])</f>
        <v>7459</v>
      </c>
      <c r="E20" s="12">
        <f>SUBTOTAL(109,LTBL_12207[個人／事業所数])</f>
        <v>3006</v>
      </c>
      <c r="G20" s="12">
        <f>SUBTOTAL(109,LTBL_12207[法人／事業所数])</f>
        <v>4428</v>
      </c>
      <c r="I20" s="12">
        <f>SUBTOTAL(109,LTBL_12207[法人以外の団体／事業所数])</f>
        <v>6</v>
      </c>
    </row>
    <row r="21" spans="2:9" ht="15" customHeight="1" x14ac:dyDescent="0.2">
      <c r="E21" s="11">
        <f>LTBL_12207[[#Totals],[個人／事業所数]]/LTBL_12207[[#Totals],[総数／事業所数]]</f>
        <v>0.40300308352326047</v>
      </c>
      <c r="G21" s="11">
        <f>LTBL_12207[[#Totals],[法人／事業所数]]/LTBL_12207[[#Totals],[総数／事業所数]]</f>
        <v>0.59364526075881485</v>
      </c>
      <c r="I21" s="11">
        <f>LTBL_12207[[#Totals],[法人以外の団体／事業所数]]/LTBL_12207[[#Totals],[総数／事業所数]]</f>
        <v>8.0439737230191715E-4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815</v>
      </c>
      <c r="D24" s="8">
        <v>10.93</v>
      </c>
      <c r="E24" s="12">
        <v>648</v>
      </c>
      <c r="F24" s="8">
        <v>21.56</v>
      </c>
      <c r="G24" s="12">
        <v>167</v>
      </c>
      <c r="H24" s="8">
        <v>3.77</v>
      </c>
      <c r="I24" s="12">
        <v>0</v>
      </c>
    </row>
    <row r="25" spans="2:9" ht="15" customHeight="1" x14ac:dyDescent="0.2">
      <c r="B25" t="s">
        <v>97</v>
      </c>
      <c r="C25" s="12">
        <v>803</v>
      </c>
      <c r="D25" s="8">
        <v>10.77</v>
      </c>
      <c r="E25" s="12">
        <v>670</v>
      </c>
      <c r="F25" s="8">
        <v>22.29</v>
      </c>
      <c r="G25" s="12">
        <v>133</v>
      </c>
      <c r="H25" s="8">
        <v>3</v>
      </c>
      <c r="I25" s="12">
        <v>0</v>
      </c>
    </row>
    <row r="26" spans="2:9" ht="15" customHeight="1" x14ac:dyDescent="0.2">
      <c r="B26" t="s">
        <v>94</v>
      </c>
      <c r="C26" s="12">
        <v>697</v>
      </c>
      <c r="D26" s="8">
        <v>9.34</v>
      </c>
      <c r="E26" s="12">
        <v>201</v>
      </c>
      <c r="F26" s="8">
        <v>6.69</v>
      </c>
      <c r="G26" s="12">
        <v>494</v>
      </c>
      <c r="H26" s="8">
        <v>11.16</v>
      </c>
      <c r="I26" s="12">
        <v>2</v>
      </c>
    </row>
    <row r="27" spans="2:9" ht="15" customHeight="1" x14ac:dyDescent="0.2">
      <c r="B27" t="s">
        <v>85</v>
      </c>
      <c r="C27" s="12">
        <v>393</v>
      </c>
      <c r="D27" s="8">
        <v>5.27</v>
      </c>
      <c r="E27" s="12">
        <v>62</v>
      </c>
      <c r="F27" s="8">
        <v>2.06</v>
      </c>
      <c r="G27" s="12">
        <v>331</v>
      </c>
      <c r="H27" s="8">
        <v>7.48</v>
      </c>
      <c r="I27" s="12">
        <v>0</v>
      </c>
    </row>
    <row r="28" spans="2:9" ht="15" customHeight="1" x14ac:dyDescent="0.2">
      <c r="B28" t="s">
        <v>92</v>
      </c>
      <c r="C28" s="12">
        <v>372</v>
      </c>
      <c r="D28" s="8">
        <v>4.99</v>
      </c>
      <c r="E28" s="12">
        <v>148</v>
      </c>
      <c r="F28" s="8">
        <v>4.92</v>
      </c>
      <c r="G28" s="12">
        <v>224</v>
      </c>
      <c r="H28" s="8">
        <v>5.0599999999999996</v>
      </c>
      <c r="I28" s="12">
        <v>0</v>
      </c>
    </row>
    <row r="29" spans="2:9" ht="15" customHeight="1" x14ac:dyDescent="0.2">
      <c r="B29" t="s">
        <v>84</v>
      </c>
      <c r="C29" s="12">
        <v>354</v>
      </c>
      <c r="D29" s="8">
        <v>4.75</v>
      </c>
      <c r="E29" s="12">
        <v>33</v>
      </c>
      <c r="F29" s="8">
        <v>1.1000000000000001</v>
      </c>
      <c r="G29" s="12">
        <v>321</v>
      </c>
      <c r="H29" s="8">
        <v>7.25</v>
      </c>
      <c r="I29" s="12">
        <v>0</v>
      </c>
    </row>
    <row r="30" spans="2:9" ht="15" customHeight="1" x14ac:dyDescent="0.2">
      <c r="B30" t="s">
        <v>101</v>
      </c>
      <c r="C30" s="12">
        <v>351</v>
      </c>
      <c r="D30" s="8">
        <v>4.71</v>
      </c>
      <c r="E30" s="12">
        <v>282</v>
      </c>
      <c r="F30" s="8">
        <v>9.3800000000000008</v>
      </c>
      <c r="G30" s="12">
        <v>69</v>
      </c>
      <c r="H30" s="8">
        <v>1.56</v>
      </c>
      <c r="I30" s="12">
        <v>0</v>
      </c>
    </row>
    <row r="31" spans="2:9" ht="15" customHeight="1" x14ac:dyDescent="0.2">
      <c r="B31" t="s">
        <v>100</v>
      </c>
      <c r="C31" s="12">
        <v>311</v>
      </c>
      <c r="D31" s="8">
        <v>4.17</v>
      </c>
      <c r="E31" s="12">
        <v>191</v>
      </c>
      <c r="F31" s="8">
        <v>6.35</v>
      </c>
      <c r="G31" s="12">
        <v>107</v>
      </c>
      <c r="H31" s="8">
        <v>2.42</v>
      </c>
      <c r="I31" s="12">
        <v>0</v>
      </c>
    </row>
    <row r="32" spans="2:9" ht="15" customHeight="1" x14ac:dyDescent="0.2">
      <c r="B32" t="s">
        <v>90</v>
      </c>
      <c r="C32" s="12">
        <v>274</v>
      </c>
      <c r="D32" s="8">
        <v>3.67</v>
      </c>
      <c r="E32" s="12">
        <v>149</v>
      </c>
      <c r="F32" s="8">
        <v>4.96</v>
      </c>
      <c r="G32" s="12">
        <v>125</v>
      </c>
      <c r="H32" s="8">
        <v>2.82</v>
      </c>
      <c r="I32" s="12">
        <v>0</v>
      </c>
    </row>
    <row r="33" spans="2:9" ht="15" customHeight="1" x14ac:dyDescent="0.2">
      <c r="B33" t="s">
        <v>86</v>
      </c>
      <c r="C33" s="12">
        <v>270</v>
      </c>
      <c r="D33" s="8">
        <v>3.62</v>
      </c>
      <c r="E33" s="12">
        <v>17</v>
      </c>
      <c r="F33" s="8">
        <v>0.56999999999999995</v>
      </c>
      <c r="G33" s="12">
        <v>253</v>
      </c>
      <c r="H33" s="8">
        <v>5.71</v>
      </c>
      <c r="I33" s="12">
        <v>0</v>
      </c>
    </row>
    <row r="34" spans="2:9" ht="15" customHeight="1" x14ac:dyDescent="0.2">
      <c r="B34" t="s">
        <v>95</v>
      </c>
      <c r="C34" s="12">
        <v>262</v>
      </c>
      <c r="D34" s="8">
        <v>3.51</v>
      </c>
      <c r="E34" s="12">
        <v>126</v>
      </c>
      <c r="F34" s="8">
        <v>4.1900000000000004</v>
      </c>
      <c r="G34" s="12">
        <v>136</v>
      </c>
      <c r="H34" s="8">
        <v>3.07</v>
      </c>
      <c r="I34" s="12">
        <v>0</v>
      </c>
    </row>
    <row r="35" spans="2:9" ht="15" customHeight="1" x14ac:dyDescent="0.2">
      <c r="B35" t="s">
        <v>93</v>
      </c>
      <c r="C35" s="12">
        <v>196</v>
      </c>
      <c r="D35" s="8">
        <v>2.63</v>
      </c>
      <c r="E35" s="12">
        <v>10</v>
      </c>
      <c r="F35" s="8">
        <v>0.33</v>
      </c>
      <c r="G35" s="12">
        <v>186</v>
      </c>
      <c r="H35" s="8">
        <v>4.2</v>
      </c>
      <c r="I35" s="12">
        <v>0</v>
      </c>
    </row>
    <row r="36" spans="2:9" ht="15" customHeight="1" x14ac:dyDescent="0.2">
      <c r="B36" t="s">
        <v>91</v>
      </c>
      <c r="C36" s="12">
        <v>168</v>
      </c>
      <c r="D36" s="8">
        <v>2.25</v>
      </c>
      <c r="E36" s="12">
        <v>65</v>
      </c>
      <c r="F36" s="8">
        <v>2.16</v>
      </c>
      <c r="G36" s="12">
        <v>103</v>
      </c>
      <c r="H36" s="8">
        <v>2.33</v>
      </c>
      <c r="I36" s="12">
        <v>0</v>
      </c>
    </row>
    <row r="37" spans="2:9" ht="15" customHeight="1" x14ac:dyDescent="0.2">
      <c r="B37" t="s">
        <v>96</v>
      </c>
      <c r="C37" s="12">
        <v>160</v>
      </c>
      <c r="D37" s="8">
        <v>2.15</v>
      </c>
      <c r="E37" s="12">
        <v>46</v>
      </c>
      <c r="F37" s="8">
        <v>1.53</v>
      </c>
      <c r="G37" s="12">
        <v>112</v>
      </c>
      <c r="H37" s="8">
        <v>2.5299999999999998</v>
      </c>
      <c r="I37" s="12">
        <v>1</v>
      </c>
    </row>
    <row r="38" spans="2:9" ht="15" customHeight="1" x14ac:dyDescent="0.2">
      <c r="B38" t="s">
        <v>89</v>
      </c>
      <c r="C38" s="12">
        <v>151</v>
      </c>
      <c r="D38" s="8">
        <v>2.02</v>
      </c>
      <c r="E38" s="12">
        <v>59</v>
      </c>
      <c r="F38" s="8">
        <v>1.96</v>
      </c>
      <c r="G38" s="12">
        <v>92</v>
      </c>
      <c r="H38" s="8">
        <v>2.08</v>
      </c>
      <c r="I38" s="12">
        <v>0</v>
      </c>
    </row>
    <row r="39" spans="2:9" ht="15" customHeight="1" x14ac:dyDescent="0.2">
      <c r="B39" t="s">
        <v>99</v>
      </c>
      <c r="C39" s="12">
        <v>137</v>
      </c>
      <c r="D39" s="8">
        <v>1.84</v>
      </c>
      <c r="E39" s="12">
        <v>44</v>
      </c>
      <c r="F39" s="8">
        <v>1.46</v>
      </c>
      <c r="G39" s="12">
        <v>92</v>
      </c>
      <c r="H39" s="8">
        <v>2.08</v>
      </c>
      <c r="I39" s="12">
        <v>1</v>
      </c>
    </row>
    <row r="40" spans="2:9" ht="15" customHeight="1" x14ac:dyDescent="0.2">
      <c r="B40" t="s">
        <v>104</v>
      </c>
      <c r="C40" s="12">
        <v>134</v>
      </c>
      <c r="D40" s="8">
        <v>1.8</v>
      </c>
      <c r="E40" s="12">
        <v>10</v>
      </c>
      <c r="F40" s="8">
        <v>0.33</v>
      </c>
      <c r="G40" s="12">
        <v>124</v>
      </c>
      <c r="H40" s="8">
        <v>2.8</v>
      </c>
      <c r="I40" s="12">
        <v>0</v>
      </c>
    </row>
    <row r="41" spans="2:9" ht="15" customHeight="1" x14ac:dyDescent="0.2">
      <c r="B41" t="s">
        <v>102</v>
      </c>
      <c r="C41" s="12">
        <v>109</v>
      </c>
      <c r="D41" s="8">
        <v>1.46</v>
      </c>
      <c r="E41" s="12">
        <v>2</v>
      </c>
      <c r="F41" s="8">
        <v>7.0000000000000007E-2</v>
      </c>
      <c r="G41" s="12">
        <v>105</v>
      </c>
      <c r="H41" s="8">
        <v>2.37</v>
      </c>
      <c r="I41" s="12">
        <v>0</v>
      </c>
    </row>
    <row r="42" spans="2:9" ht="15" customHeight="1" x14ac:dyDescent="0.2">
      <c r="B42" t="s">
        <v>105</v>
      </c>
      <c r="C42" s="12">
        <v>107</v>
      </c>
      <c r="D42" s="8">
        <v>1.43</v>
      </c>
      <c r="E42" s="12">
        <v>4</v>
      </c>
      <c r="F42" s="8">
        <v>0.13</v>
      </c>
      <c r="G42" s="12">
        <v>103</v>
      </c>
      <c r="H42" s="8">
        <v>2.33</v>
      </c>
      <c r="I42" s="12">
        <v>0</v>
      </c>
    </row>
    <row r="43" spans="2:9" ht="15" customHeight="1" x14ac:dyDescent="0.2">
      <c r="B43" t="s">
        <v>88</v>
      </c>
      <c r="C43" s="12">
        <v>101</v>
      </c>
      <c r="D43" s="8">
        <v>1.35</v>
      </c>
      <c r="E43" s="12">
        <v>5</v>
      </c>
      <c r="F43" s="8">
        <v>0.17</v>
      </c>
      <c r="G43" s="12">
        <v>96</v>
      </c>
      <c r="H43" s="8">
        <v>2.17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158</v>
      </c>
      <c r="C47" s="12">
        <v>389</v>
      </c>
      <c r="D47" s="8">
        <v>5.22</v>
      </c>
      <c r="E47" s="12">
        <v>154</v>
      </c>
      <c r="F47" s="8">
        <v>5.12</v>
      </c>
      <c r="G47" s="12">
        <v>235</v>
      </c>
      <c r="H47" s="8">
        <v>5.31</v>
      </c>
      <c r="I47" s="12">
        <v>0</v>
      </c>
    </row>
    <row r="48" spans="2:9" ht="15" customHeight="1" x14ac:dyDescent="0.2">
      <c r="B48" t="s">
        <v>164</v>
      </c>
      <c r="C48" s="12">
        <v>381</v>
      </c>
      <c r="D48" s="8">
        <v>5.1100000000000003</v>
      </c>
      <c r="E48" s="12">
        <v>317</v>
      </c>
      <c r="F48" s="8">
        <v>10.55</v>
      </c>
      <c r="G48" s="12">
        <v>64</v>
      </c>
      <c r="H48" s="8">
        <v>1.45</v>
      </c>
      <c r="I48" s="12">
        <v>0</v>
      </c>
    </row>
    <row r="49" spans="2:9" ht="15" customHeight="1" x14ac:dyDescent="0.2">
      <c r="B49" t="s">
        <v>162</v>
      </c>
      <c r="C49" s="12">
        <v>262</v>
      </c>
      <c r="D49" s="8">
        <v>3.51</v>
      </c>
      <c r="E49" s="12">
        <v>236</v>
      </c>
      <c r="F49" s="8">
        <v>7.85</v>
      </c>
      <c r="G49" s="12">
        <v>26</v>
      </c>
      <c r="H49" s="8">
        <v>0.59</v>
      </c>
      <c r="I49" s="12">
        <v>0</v>
      </c>
    </row>
    <row r="50" spans="2:9" ht="15" customHeight="1" x14ac:dyDescent="0.2">
      <c r="B50" t="s">
        <v>163</v>
      </c>
      <c r="C50" s="12">
        <v>260</v>
      </c>
      <c r="D50" s="8">
        <v>3.49</v>
      </c>
      <c r="E50" s="12">
        <v>231</v>
      </c>
      <c r="F50" s="8">
        <v>7.68</v>
      </c>
      <c r="G50" s="12">
        <v>29</v>
      </c>
      <c r="H50" s="8">
        <v>0.65</v>
      </c>
      <c r="I50" s="12">
        <v>0</v>
      </c>
    </row>
    <row r="51" spans="2:9" ht="15" customHeight="1" x14ac:dyDescent="0.2">
      <c r="B51" t="s">
        <v>166</v>
      </c>
      <c r="C51" s="12">
        <v>257</v>
      </c>
      <c r="D51" s="8">
        <v>3.45</v>
      </c>
      <c r="E51" s="12">
        <v>209</v>
      </c>
      <c r="F51" s="8">
        <v>6.95</v>
      </c>
      <c r="G51" s="12">
        <v>48</v>
      </c>
      <c r="H51" s="8">
        <v>1.08</v>
      </c>
      <c r="I51" s="12">
        <v>0</v>
      </c>
    </row>
    <row r="52" spans="2:9" ht="15" customHeight="1" x14ac:dyDescent="0.2">
      <c r="B52" t="s">
        <v>161</v>
      </c>
      <c r="C52" s="12">
        <v>236</v>
      </c>
      <c r="D52" s="8">
        <v>3.16</v>
      </c>
      <c r="E52" s="12">
        <v>183</v>
      </c>
      <c r="F52" s="8">
        <v>6.09</v>
      </c>
      <c r="G52" s="12">
        <v>53</v>
      </c>
      <c r="H52" s="8">
        <v>1.2</v>
      </c>
      <c r="I52" s="12">
        <v>0</v>
      </c>
    </row>
    <row r="53" spans="2:9" ht="15" customHeight="1" x14ac:dyDescent="0.2">
      <c r="B53" t="s">
        <v>165</v>
      </c>
      <c r="C53" s="12">
        <v>196</v>
      </c>
      <c r="D53" s="8">
        <v>2.63</v>
      </c>
      <c r="E53" s="12">
        <v>139</v>
      </c>
      <c r="F53" s="8">
        <v>4.62</v>
      </c>
      <c r="G53" s="12">
        <v>57</v>
      </c>
      <c r="H53" s="8">
        <v>1.29</v>
      </c>
      <c r="I53" s="12">
        <v>0</v>
      </c>
    </row>
    <row r="54" spans="2:9" ht="15" customHeight="1" x14ac:dyDescent="0.2">
      <c r="B54" t="s">
        <v>171</v>
      </c>
      <c r="C54" s="12">
        <v>160</v>
      </c>
      <c r="D54" s="8">
        <v>2.15</v>
      </c>
      <c r="E54" s="12">
        <v>9</v>
      </c>
      <c r="F54" s="8">
        <v>0.3</v>
      </c>
      <c r="G54" s="12">
        <v>151</v>
      </c>
      <c r="H54" s="8">
        <v>3.41</v>
      </c>
      <c r="I54" s="12">
        <v>0</v>
      </c>
    </row>
    <row r="55" spans="2:9" ht="15" customHeight="1" x14ac:dyDescent="0.2">
      <c r="B55" t="s">
        <v>159</v>
      </c>
      <c r="C55" s="12">
        <v>152</v>
      </c>
      <c r="D55" s="8">
        <v>2.04</v>
      </c>
      <c r="E55" s="12">
        <v>4</v>
      </c>
      <c r="F55" s="8">
        <v>0.13</v>
      </c>
      <c r="G55" s="12">
        <v>146</v>
      </c>
      <c r="H55" s="8">
        <v>3.3</v>
      </c>
      <c r="I55" s="12">
        <v>2</v>
      </c>
    </row>
    <row r="56" spans="2:9" ht="15" customHeight="1" x14ac:dyDescent="0.2">
      <c r="B56" t="s">
        <v>156</v>
      </c>
      <c r="C56" s="12">
        <v>119</v>
      </c>
      <c r="D56" s="8">
        <v>1.6</v>
      </c>
      <c r="E56" s="12">
        <v>52</v>
      </c>
      <c r="F56" s="8">
        <v>1.73</v>
      </c>
      <c r="G56" s="12">
        <v>67</v>
      </c>
      <c r="H56" s="8">
        <v>1.51</v>
      </c>
      <c r="I56" s="12">
        <v>0</v>
      </c>
    </row>
    <row r="57" spans="2:9" ht="15" customHeight="1" x14ac:dyDescent="0.2">
      <c r="B57" t="s">
        <v>151</v>
      </c>
      <c r="C57" s="12">
        <v>118</v>
      </c>
      <c r="D57" s="8">
        <v>1.58</v>
      </c>
      <c r="E57" s="12">
        <v>9</v>
      </c>
      <c r="F57" s="8">
        <v>0.3</v>
      </c>
      <c r="G57" s="12">
        <v>109</v>
      </c>
      <c r="H57" s="8">
        <v>2.46</v>
      </c>
      <c r="I57" s="12">
        <v>0</v>
      </c>
    </row>
    <row r="58" spans="2:9" ht="15" customHeight="1" x14ac:dyDescent="0.2">
      <c r="B58" t="s">
        <v>157</v>
      </c>
      <c r="C58" s="12">
        <v>112</v>
      </c>
      <c r="D58" s="8">
        <v>1.5</v>
      </c>
      <c r="E58" s="12">
        <v>21</v>
      </c>
      <c r="F58" s="8">
        <v>0.7</v>
      </c>
      <c r="G58" s="12">
        <v>91</v>
      </c>
      <c r="H58" s="8">
        <v>2.06</v>
      </c>
      <c r="I58" s="12">
        <v>0</v>
      </c>
    </row>
    <row r="59" spans="2:9" ht="15" customHeight="1" x14ac:dyDescent="0.2">
      <c r="B59" t="s">
        <v>152</v>
      </c>
      <c r="C59" s="12">
        <v>110</v>
      </c>
      <c r="D59" s="8">
        <v>1.47</v>
      </c>
      <c r="E59" s="12">
        <v>10</v>
      </c>
      <c r="F59" s="8">
        <v>0.33</v>
      </c>
      <c r="G59" s="12">
        <v>100</v>
      </c>
      <c r="H59" s="8">
        <v>2.2599999999999998</v>
      </c>
      <c r="I59" s="12">
        <v>0</v>
      </c>
    </row>
    <row r="60" spans="2:9" ht="15" customHeight="1" x14ac:dyDescent="0.2">
      <c r="B60" t="s">
        <v>169</v>
      </c>
      <c r="C60" s="12">
        <v>105</v>
      </c>
      <c r="D60" s="8">
        <v>1.41</v>
      </c>
      <c r="E60" s="12">
        <v>63</v>
      </c>
      <c r="F60" s="8">
        <v>2.1</v>
      </c>
      <c r="G60" s="12">
        <v>42</v>
      </c>
      <c r="H60" s="8">
        <v>0.95</v>
      </c>
      <c r="I60" s="12">
        <v>0</v>
      </c>
    </row>
    <row r="61" spans="2:9" ht="15" customHeight="1" x14ac:dyDescent="0.2">
      <c r="B61" t="s">
        <v>154</v>
      </c>
      <c r="C61" s="12">
        <v>103</v>
      </c>
      <c r="D61" s="8">
        <v>1.38</v>
      </c>
      <c r="E61" s="12">
        <v>55</v>
      </c>
      <c r="F61" s="8">
        <v>1.83</v>
      </c>
      <c r="G61" s="12">
        <v>48</v>
      </c>
      <c r="H61" s="8">
        <v>1.08</v>
      </c>
      <c r="I61" s="12">
        <v>0</v>
      </c>
    </row>
    <row r="62" spans="2:9" ht="15" customHeight="1" x14ac:dyDescent="0.2">
      <c r="B62" t="s">
        <v>153</v>
      </c>
      <c r="C62" s="12">
        <v>102</v>
      </c>
      <c r="D62" s="8">
        <v>1.37</v>
      </c>
      <c r="E62" s="12">
        <v>6</v>
      </c>
      <c r="F62" s="8">
        <v>0.2</v>
      </c>
      <c r="G62" s="12">
        <v>96</v>
      </c>
      <c r="H62" s="8">
        <v>2.17</v>
      </c>
      <c r="I62" s="12">
        <v>0</v>
      </c>
    </row>
    <row r="63" spans="2:9" ht="15" customHeight="1" x14ac:dyDescent="0.2">
      <c r="B63" t="s">
        <v>160</v>
      </c>
      <c r="C63" s="12">
        <v>96</v>
      </c>
      <c r="D63" s="8">
        <v>1.29</v>
      </c>
      <c r="E63" s="12">
        <v>22</v>
      </c>
      <c r="F63" s="8">
        <v>0.73</v>
      </c>
      <c r="G63" s="12">
        <v>72</v>
      </c>
      <c r="H63" s="8">
        <v>1.63</v>
      </c>
      <c r="I63" s="12">
        <v>1</v>
      </c>
    </row>
    <row r="64" spans="2:9" ht="15" customHeight="1" x14ac:dyDescent="0.2">
      <c r="B64" t="s">
        <v>193</v>
      </c>
      <c r="C64" s="12">
        <v>92</v>
      </c>
      <c r="D64" s="8">
        <v>1.23</v>
      </c>
      <c r="E64" s="12">
        <v>80</v>
      </c>
      <c r="F64" s="8">
        <v>2.66</v>
      </c>
      <c r="G64" s="12">
        <v>12</v>
      </c>
      <c r="H64" s="8">
        <v>0.27</v>
      </c>
      <c r="I64" s="12">
        <v>0</v>
      </c>
    </row>
    <row r="65" spans="2:9" ht="15" customHeight="1" x14ac:dyDescent="0.2">
      <c r="B65" t="s">
        <v>149</v>
      </c>
      <c r="C65" s="12">
        <v>89</v>
      </c>
      <c r="D65" s="8">
        <v>1.19</v>
      </c>
      <c r="E65" s="12">
        <v>5</v>
      </c>
      <c r="F65" s="8">
        <v>0.17</v>
      </c>
      <c r="G65" s="12">
        <v>84</v>
      </c>
      <c r="H65" s="8">
        <v>1.9</v>
      </c>
      <c r="I65" s="12">
        <v>0</v>
      </c>
    </row>
    <row r="66" spans="2:9" ht="15" customHeight="1" x14ac:dyDescent="0.2">
      <c r="B66" t="s">
        <v>174</v>
      </c>
      <c r="C66" s="12">
        <v>85</v>
      </c>
      <c r="D66" s="8">
        <v>1.1399999999999999</v>
      </c>
      <c r="E66" s="12">
        <v>13</v>
      </c>
      <c r="F66" s="8">
        <v>0.43</v>
      </c>
      <c r="G66" s="12">
        <v>72</v>
      </c>
      <c r="H66" s="8">
        <v>1.63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79FA5-803D-460F-B3CC-E57F08456678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265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487</v>
      </c>
      <c r="D6" s="8">
        <v>17.7</v>
      </c>
      <c r="E6" s="12">
        <v>124</v>
      </c>
      <c r="F6" s="8">
        <v>10.74</v>
      </c>
      <c r="G6" s="12">
        <v>363</v>
      </c>
      <c r="H6" s="8">
        <v>23.3</v>
      </c>
      <c r="I6" s="12">
        <v>0</v>
      </c>
    </row>
    <row r="7" spans="2:9" ht="15" customHeight="1" x14ac:dyDescent="0.2">
      <c r="B7" t="s">
        <v>63</v>
      </c>
      <c r="C7" s="12">
        <v>332</v>
      </c>
      <c r="D7" s="8">
        <v>12.07</v>
      </c>
      <c r="E7" s="12">
        <v>67</v>
      </c>
      <c r="F7" s="8">
        <v>5.8</v>
      </c>
      <c r="G7" s="12">
        <v>264</v>
      </c>
      <c r="H7" s="8">
        <v>16.940000000000001</v>
      </c>
      <c r="I7" s="12">
        <v>1</v>
      </c>
    </row>
    <row r="8" spans="2:9" ht="15" customHeight="1" x14ac:dyDescent="0.2">
      <c r="B8" t="s">
        <v>64</v>
      </c>
      <c r="C8" s="12">
        <v>5</v>
      </c>
      <c r="D8" s="8">
        <v>0.18</v>
      </c>
      <c r="E8" s="12">
        <v>0</v>
      </c>
      <c r="F8" s="8">
        <v>0</v>
      </c>
      <c r="G8" s="12">
        <v>5</v>
      </c>
      <c r="H8" s="8">
        <v>0.32</v>
      </c>
      <c r="I8" s="12">
        <v>0</v>
      </c>
    </row>
    <row r="9" spans="2:9" ht="15" customHeight="1" x14ac:dyDescent="0.2">
      <c r="B9" t="s">
        <v>65</v>
      </c>
      <c r="C9" s="12">
        <v>19</v>
      </c>
      <c r="D9" s="8">
        <v>0.69</v>
      </c>
      <c r="E9" s="12">
        <v>1</v>
      </c>
      <c r="F9" s="8">
        <v>0.09</v>
      </c>
      <c r="G9" s="12">
        <v>18</v>
      </c>
      <c r="H9" s="8">
        <v>1.1599999999999999</v>
      </c>
      <c r="I9" s="12">
        <v>0</v>
      </c>
    </row>
    <row r="10" spans="2:9" ht="15" customHeight="1" x14ac:dyDescent="0.2">
      <c r="B10" t="s">
        <v>66</v>
      </c>
      <c r="C10" s="12">
        <v>50</v>
      </c>
      <c r="D10" s="8">
        <v>1.82</v>
      </c>
      <c r="E10" s="12">
        <v>2</v>
      </c>
      <c r="F10" s="8">
        <v>0.17</v>
      </c>
      <c r="G10" s="12">
        <v>48</v>
      </c>
      <c r="H10" s="8">
        <v>3.08</v>
      </c>
      <c r="I10" s="12">
        <v>0</v>
      </c>
    </row>
    <row r="11" spans="2:9" ht="15" customHeight="1" x14ac:dyDescent="0.2">
      <c r="B11" t="s">
        <v>67</v>
      </c>
      <c r="C11" s="12">
        <v>593</v>
      </c>
      <c r="D11" s="8">
        <v>21.56</v>
      </c>
      <c r="E11" s="12">
        <v>210</v>
      </c>
      <c r="F11" s="8">
        <v>18.18</v>
      </c>
      <c r="G11" s="12">
        <v>382</v>
      </c>
      <c r="H11" s="8">
        <v>24.52</v>
      </c>
      <c r="I11" s="12">
        <v>1</v>
      </c>
    </row>
    <row r="12" spans="2:9" ht="15" customHeight="1" x14ac:dyDescent="0.2">
      <c r="B12" t="s">
        <v>68</v>
      </c>
      <c r="C12" s="12">
        <v>14</v>
      </c>
      <c r="D12" s="8">
        <v>0.51</v>
      </c>
      <c r="E12" s="12">
        <v>0</v>
      </c>
      <c r="F12" s="8">
        <v>0</v>
      </c>
      <c r="G12" s="12">
        <v>14</v>
      </c>
      <c r="H12" s="8">
        <v>0.9</v>
      </c>
      <c r="I12" s="12">
        <v>0</v>
      </c>
    </row>
    <row r="13" spans="2:9" ht="15" customHeight="1" x14ac:dyDescent="0.2">
      <c r="B13" t="s">
        <v>69</v>
      </c>
      <c r="C13" s="12">
        <v>244</v>
      </c>
      <c r="D13" s="8">
        <v>8.8699999999999992</v>
      </c>
      <c r="E13" s="12">
        <v>78</v>
      </c>
      <c r="F13" s="8">
        <v>6.75</v>
      </c>
      <c r="G13" s="12">
        <v>165</v>
      </c>
      <c r="H13" s="8">
        <v>10.59</v>
      </c>
      <c r="I13" s="12">
        <v>0</v>
      </c>
    </row>
    <row r="14" spans="2:9" ht="15" customHeight="1" x14ac:dyDescent="0.2">
      <c r="B14" t="s">
        <v>70</v>
      </c>
      <c r="C14" s="12">
        <v>102</v>
      </c>
      <c r="D14" s="8">
        <v>3.71</v>
      </c>
      <c r="E14" s="12">
        <v>47</v>
      </c>
      <c r="F14" s="8">
        <v>4.07</v>
      </c>
      <c r="G14" s="12">
        <v>52</v>
      </c>
      <c r="H14" s="8">
        <v>3.34</v>
      </c>
      <c r="I14" s="12">
        <v>0</v>
      </c>
    </row>
    <row r="15" spans="2:9" ht="15" customHeight="1" x14ac:dyDescent="0.2">
      <c r="B15" t="s">
        <v>71</v>
      </c>
      <c r="C15" s="12">
        <v>236</v>
      </c>
      <c r="D15" s="8">
        <v>8.58</v>
      </c>
      <c r="E15" s="12">
        <v>195</v>
      </c>
      <c r="F15" s="8">
        <v>16.88</v>
      </c>
      <c r="G15" s="12">
        <v>39</v>
      </c>
      <c r="H15" s="8">
        <v>2.5</v>
      </c>
      <c r="I15" s="12">
        <v>0</v>
      </c>
    </row>
    <row r="16" spans="2:9" ht="15" customHeight="1" x14ac:dyDescent="0.2">
      <c r="B16" t="s">
        <v>72</v>
      </c>
      <c r="C16" s="12">
        <v>330</v>
      </c>
      <c r="D16" s="8">
        <v>12</v>
      </c>
      <c r="E16" s="12">
        <v>259</v>
      </c>
      <c r="F16" s="8">
        <v>22.42</v>
      </c>
      <c r="G16" s="12">
        <v>71</v>
      </c>
      <c r="H16" s="8">
        <v>4.5599999999999996</v>
      </c>
      <c r="I16" s="12">
        <v>0</v>
      </c>
    </row>
    <row r="17" spans="2:9" ht="15" customHeight="1" x14ac:dyDescent="0.2">
      <c r="B17" t="s">
        <v>73</v>
      </c>
      <c r="C17" s="12">
        <v>88</v>
      </c>
      <c r="D17" s="8">
        <v>3.2</v>
      </c>
      <c r="E17" s="12">
        <v>53</v>
      </c>
      <c r="F17" s="8">
        <v>4.59</v>
      </c>
      <c r="G17" s="12">
        <v>24</v>
      </c>
      <c r="H17" s="8">
        <v>1.54</v>
      </c>
      <c r="I17" s="12">
        <v>0</v>
      </c>
    </row>
    <row r="18" spans="2:9" ht="15" customHeight="1" x14ac:dyDescent="0.2">
      <c r="B18" t="s">
        <v>74</v>
      </c>
      <c r="C18" s="12">
        <v>142</v>
      </c>
      <c r="D18" s="8">
        <v>5.16</v>
      </c>
      <c r="E18" s="12">
        <v>79</v>
      </c>
      <c r="F18" s="8">
        <v>6.84</v>
      </c>
      <c r="G18" s="12">
        <v>45</v>
      </c>
      <c r="H18" s="8">
        <v>2.89</v>
      </c>
      <c r="I18" s="12">
        <v>1</v>
      </c>
    </row>
    <row r="19" spans="2:9" ht="15" customHeight="1" x14ac:dyDescent="0.2">
      <c r="B19" t="s">
        <v>75</v>
      </c>
      <c r="C19" s="12">
        <v>109</v>
      </c>
      <c r="D19" s="8">
        <v>3.96</v>
      </c>
      <c r="E19" s="12">
        <v>40</v>
      </c>
      <c r="F19" s="8">
        <v>3.46</v>
      </c>
      <c r="G19" s="12">
        <v>68</v>
      </c>
      <c r="H19" s="8">
        <v>4.3600000000000003</v>
      </c>
      <c r="I19" s="12">
        <v>0</v>
      </c>
    </row>
    <row r="20" spans="2:9" ht="15" customHeight="1" x14ac:dyDescent="0.2">
      <c r="B20" s="9" t="s">
        <v>248</v>
      </c>
      <c r="C20" s="12">
        <f>SUM(LTBL_12208[総数／事業所数])</f>
        <v>2751</v>
      </c>
      <c r="E20" s="12">
        <f>SUBTOTAL(109,LTBL_12208[個人／事業所数])</f>
        <v>1155</v>
      </c>
      <c r="G20" s="12">
        <f>SUBTOTAL(109,LTBL_12208[法人／事業所数])</f>
        <v>1558</v>
      </c>
      <c r="I20" s="12">
        <f>SUBTOTAL(109,LTBL_12208[法人以外の団体／事業所数])</f>
        <v>3</v>
      </c>
    </row>
    <row r="21" spans="2:9" ht="15" customHeight="1" x14ac:dyDescent="0.2">
      <c r="E21" s="11">
        <f>LTBL_12208[[#Totals],[個人／事業所数]]/LTBL_12208[[#Totals],[総数／事業所数]]</f>
        <v>0.41984732824427479</v>
      </c>
      <c r="G21" s="11">
        <f>LTBL_12208[[#Totals],[法人／事業所数]]/LTBL_12208[[#Totals],[総数／事業所数]]</f>
        <v>0.56633951290439843</v>
      </c>
      <c r="I21" s="11">
        <f>LTBL_12208[[#Totals],[法人以外の団体／事業所数]]/LTBL_12208[[#Totals],[総数／事業所数]]</f>
        <v>1.0905125408942203E-3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267</v>
      </c>
      <c r="D24" s="8">
        <v>9.7100000000000009</v>
      </c>
      <c r="E24" s="12">
        <v>235</v>
      </c>
      <c r="F24" s="8">
        <v>20.350000000000001</v>
      </c>
      <c r="G24" s="12">
        <v>32</v>
      </c>
      <c r="H24" s="8">
        <v>2.0499999999999998</v>
      </c>
      <c r="I24" s="12">
        <v>0</v>
      </c>
    </row>
    <row r="25" spans="2:9" ht="15" customHeight="1" x14ac:dyDescent="0.2">
      <c r="B25" t="s">
        <v>97</v>
      </c>
      <c r="C25" s="12">
        <v>217</v>
      </c>
      <c r="D25" s="8">
        <v>7.89</v>
      </c>
      <c r="E25" s="12">
        <v>188</v>
      </c>
      <c r="F25" s="8">
        <v>16.28</v>
      </c>
      <c r="G25" s="12">
        <v>29</v>
      </c>
      <c r="H25" s="8">
        <v>1.86</v>
      </c>
      <c r="I25" s="12">
        <v>0</v>
      </c>
    </row>
    <row r="26" spans="2:9" ht="15" customHeight="1" x14ac:dyDescent="0.2">
      <c r="B26" t="s">
        <v>84</v>
      </c>
      <c r="C26" s="12">
        <v>193</v>
      </c>
      <c r="D26" s="8">
        <v>7.02</v>
      </c>
      <c r="E26" s="12">
        <v>49</v>
      </c>
      <c r="F26" s="8">
        <v>4.24</v>
      </c>
      <c r="G26" s="12">
        <v>144</v>
      </c>
      <c r="H26" s="8">
        <v>9.24</v>
      </c>
      <c r="I26" s="12">
        <v>0</v>
      </c>
    </row>
    <row r="27" spans="2:9" ht="15" customHeight="1" x14ac:dyDescent="0.2">
      <c r="B27" t="s">
        <v>85</v>
      </c>
      <c r="C27" s="12">
        <v>189</v>
      </c>
      <c r="D27" s="8">
        <v>6.87</v>
      </c>
      <c r="E27" s="12">
        <v>61</v>
      </c>
      <c r="F27" s="8">
        <v>5.28</v>
      </c>
      <c r="G27" s="12">
        <v>128</v>
      </c>
      <c r="H27" s="8">
        <v>8.2200000000000006</v>
      </c>
      <c r="I27" s="12">
        <v>0</v>
      </c>
    </row>
    <row r="28" spans="2:9" ht="15" customHeight="1" x14ac:dyDescent="0.2">
      <c r="B28" t="s">
        <v>94</v>
      </c>
      <c r="C28" s="12">
        <v>176</v>
      </c>
      <c r="D28" s="8">
        <v>6.4</v>
      </c>
      <c r="E28" s="12">
        <v>70</v>
      </c>
      <c r="F28" s="8">
        <v>6.06</v>
      </c>
      <c r="G28" s="12">
        <v>105</v>
      </c>
      <c r="H28" s="8">
        <v>6.74</v>
      </c>
      <c r="I28" s="12">
        <v>0</v>
      </c>
    </row>
    <row r="29" spans="2:9" ht="15" customHeight="1" x14ac:dyDescent="0.2">
      <c r="B29" t="s">
        <v>92</v>
      </c>
      <c r="C29" s="12">
        <v>154</v>
      </c>
      <c r="D29" s="8">
        <v>5.6</v>
      </c>
      <c r="E29" s="12">
        <v>60</v>
      </c>
      <c r="F29" s="8">
        <v>5.19</v>
      </c>
      <c r="G29" s="12">
        <v>93</v>
      </c>
      <c r="H29" s="8">
        <v>5.97</v>
      </c>
      <c r="I29" s="12">
        <v>1</v>
      </c>
    </row>
    <row r="30" spans="2:9" ht="15" customHeight="1" x14ac:dyDescent="0.2">
      <c r="B30" t="s">
        <v>91</v>
      </c>
      <c r="C30" s="12">
        <v>119</v>
      </c>
      <c r="D30" s="8">
        <v>4.33</v>
      </c>
      <c r="E30" s="12">
        <v>46</v>
      </c>
      <c r="F30" s="8">
        <v>3.98</v>
      </c>
      <c r="G30" s="12">
        <v>73</v>
      </c>
      <c r="H30" s="8">
        <v>4.6900000000000004</v>
      </c>
      <c r="I30" s="12">
        <v>0</v>
      </c>
    </row>
    <row r="31" spans="2:9" ht="15" customHeight="1" x14ac:dyDescent="0.2">
      <c r="B31" t="s">
        <v>86</v>
      </c>
      <c r="C31" s="12">
        <v>105</v>
      </c>
      <c r="D31" s="8">
        <v>3.82</v>
      </c>
      <c r="E31" s="12">
        <v>14</v>
      </c>
      <c r="F31" s="8">
        <v>1.21</v>
      </c>
      <c r="G31" s="12">
        <v>91</v>
      </c>
      <c r="H31" s="8">
        <v>5.84</v>
      </c>
      <c r="I31" s="12">
        <v>0</v>
      </c>
    </row>
    <row r="32" spans="2:9" ht="15" customHeight="1" x14ac:dyDescent="0.2">
      <c r="B32" t="s">
        <v>90</v>
      </c>
      <c r="C32" s="12">
        <v>90</v>
      </c>
      <c r="D32" s="8">
        <v>3.27</v>
      </c>
      <c r="E32" s="12">
        <v>59</v>
      </c>
      <c r="F32" s="8">
        <v>5.1100000000000003</v>
      </c>
      <c r="G32" s="12">
        <v>31</v>
      </c>
      <c r="H32" s="8">
        <v>1.99</v>
      </c>
      <c r="I32" s="12">
        <v>0</v>
      </c>
    </row>
    <row r="33" spans="2:9" ht="15" customHeight="1" x14ac:dyDescent="0.2">
      <c r="B33" t="s">
        <v>101</v>
      </c>
      <c r="C33" s="12">
        <v>89</v>
      </c>
      <c r="D33" s="8">
        <v>3.24</v>
      </c>
      <c r="E33" s="12">
        <v>78</v>
      </c>
      <c r="F33" s="8">
        <v>6.75</v>
      </c>
      <c r="G33" s="12">
        <v>11</v>
      </c>
      <c r="H33" s="8">
        <v>0.71</v>
      </c>
      <c r="I33" s="12">
        <v>0</v>
      </c>
    </row>
    <row r="34" spans="2:9" ht="15" customHeight="1" x14ac:dyDescent="0.2">
      <c r="B34" t="s">
        <v>100</v>
      </c>
      <c r="C34" s="12">
        <v>88</v>
      </c>
      <c r="D34" s="8">
        <v>3.2</v>
      </c>
      <c r="E34" s="12">
        <v>53</v>
      </c>
      <c r="F34" s="8">
        <v>4.59</v>
      </c>
      <c r="G34" s="12">
        <v>24</v>
      </c>
      <c r="H34" s="8">
        <v>1.54</v>
      </c>
      <c r="I34" s="12">
        <v>0</v>
      </c>
    </row>
    <row r="35" spans="2:9" ht="15" customHeight="1" x14ac:dyDescent="0.2">
      <c r="B35" t="s">
        <v>106</v>
      </c>
      <c r="C35" s="12">
        <v>68</v>
      </c>
      <c r="D35" s="8">
        <v>2.4700000000000002</v>
      </c>
      <c r="E35" s="12">
        <v>16</v>
      </c>
      <c r="F35" s="8">
        <v>1.39</v>
      </c>
      <c r="G35" s="12">
        <v>52</v>
      </c>
      <c r="H35" s="8">
        <v>3.34</v>
      </c>
      <c r="I35" s="12">
        <v>0</v>
      </c>
    </row>
    <row r="36" spans="2:9" ht="15" customHeight="1" x14ac:dyDescent="0.2">
      <c r="B36" t="s">
        <v>99</v>
      </c>
      <c r="C36" s="12">
        <v>53</v>
      </c>
      <c r="D36" s="8">
        <v>1.93</v>
      </c>
      <c r="E36" s="12">
        <v>21</v>
      </c>
      <c r="F36" s="8">
        <v>1.82</v>
      </c>
      <c r="G36" s="12">
        <v>32</v>
      </c>
      <c r="H36" s="8">
        <v>2.0499999999999998</v>
      </c>
      <c r="I36" s="12">
        <v>0</v>
      </c>
    </row>
    <row r="37" spans="2:9" ht="15" customHeight="1" x14ac:dyDescent="0.2">
      <c r="B37" t="s">
        <v>102</v>
      </c>
      <c r="C37" s="12">
        <v>53</v>
      </c>
      <c r="D37" s="8">
        <v>1.93</v>
      </c>
      <c r="E37" s="12">
        <v>1</v>
      </c>
      <c r="F37" s="8">
        <v>0.09</v>
      </c>
      <c r="G37" s="12">
        <v>34</v>
      </c>
      <c r="H37" s="8">
        <v>2.1800000000000002</v>
      </c>
      <c r="I37" s="12">
        <v>1</v>
      </c>
    </row>
    <row r="38" spans="2:9" ht="15" customHeight="1" x14ac:dyDescent="0.2">
      <c r="B38" t="s">
        <v>103</v>
      </c>
      <c r="C38" s="12">
        <v>53</v>
      </c>
      <c r="D38" s="8">
        <v>1.93</v>
      </c>
      <c r="E38" s="12">
        <v>31</v>
      </c>
      <c r="F38" s="8">
        <v>2.68</v>
      </c>
      <c r="G38" s="12">
        <v>22</v>
      </c>
      <c r="H38" s="8">
        <v>1.41</v>
      </c>
      <c r="I38" s="12">
        <v>0</v>
      </c>
    </row>
    <row r="39" spans="2:9" ht="15" customHeight="1" x14ac:dyDescent="0.2">
      <c r="B39" t="s">
        <v>96</v>
      </c>
      <c r="C39" s="12">
        <v>52</v>
      </c>
      <c r="D39" s="8">
        <v>1.89</v>
      </c>
      <c r="E39" s="12">
        <v>19</v>
      </c>
      <c r="F39" s="8">
        <v>1.65</v>
      </c>
      <c r="G39" s="12">
        <v>30</v>
      </c>
      <c r="H39" s="8">
        <v>1.93</v>
      </c>
      <c r="I39" s="12">
        <v>0</v>
      </c>
    </row>
    <row r="40" spans="2:9" ht="15" customHeight="1" x14ac:dyDescent="0.2">
      <c r="B40" t="s">
        <v>87</v>
      </c>
      <c r="C40" s="12">
        <v>51</v>
      </c>
      <c r="D40" s="8">
        <v>1.85</v>
      </c>
      <c r="E40" s="12">
        <v>10</v>
      </c>
      <c r="F40" s="8">
        <v>0.87</v>
      </c>
      <c r="G40" s="12">
        <v>41</v>
      </c>
      <c r="H40" s="8">
        <v>2.63</v>
      </c>
      <c r="I40" s="12">
        <v>0</v>
      </c>
    </row>
    <row r="41" spans="2:9" ht="15" customHeight="1" x14ac:dyDescent="0.2">
      <c r="B41" t="s">
        <v>88</v>
      </c>
      <c r="C41" s="12">
        <v>49</v>
      </c>
      <c r="D41" s="8">
        <v>1.78</v>
      </c>
      <c r="E41" s="12">
        <v>3</v>
      </c>
      <c r="F41" s="8">
        <v>0.26</v>
      </c>
      <c r="G41" s="12">
        <v>46</v>
      </c>
      <c r="H41" s="8">
        <v>2.95</v>
      </c>
      <c r="I41" s="12">
        <v>0</v>
      </c>
    </row>
    <row r="42" spans="2:9" ht="15" customHeight="1" x14ac:dyDescent="0.2">
      <c r="B42" t="s">
        <v>89</v>
      </c>
      <c r="C42" s="12">
        <v>49</v>
      </c>
      <c r="D42" s="8">
        <v>1.78</v>
      </c>
      <c r="E42" s="12">
        <v>21</v>
      </c>
      <c r="F42" s="8">
        <v>1.82</v>
      </c>
      <c r="G42" s="12">
        <v>28</v>
      </c>
      <c r="H42" s="8">
        <v>1.8</v>
      </c>
      <c r="I42" s="12">
        <v>0</v>
      </c>
    </row>
    <row r="43" spans="2:9" ht="15" customHeight="1" x14ac:dyDescent="0.2">
      <c r="B43" t="s">
        <v>95</v>
      </c>
      <c r="C43" s="12">
        <v>49</v>
      </c>
      <c r="D43" s="8">
        <v>1.78</v>
      </c>
      <c r="E43" s="12">
        <v>28</v>
      </c>
      <c r="F43" s="8">
        <v>2.42</v>
      </c>
      <c r="G43" s="12">
        <v>21</v>
      </c>
      <c r="H43" s="8">
        <v>1.35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116</v>
      </c>
      <c r="D47" s="8">
        <v>4.22</v>
      </c>
      <c r="E47" s="12">
        <v>104</v>
      </c>
      <c r="F47" s="8">
        <v>9</v>
      </c>
      <c r="G47" s="12">
        <v>12</v>
      </c>
      <c r="H47" s="8">
        <v>0.77</v>
      </c>
      <c r="I47" s="12">
        <v>0</v>
      </c>
    </row>
    <row r="48" spans="2:9" ht="15" customHeight="1" x14ac:dyDescent="0.2">
      <c r="B48" t="s">
        <v>163</v>
      </c>
      <c r="C48" s="12">
        <v>103</v>
      </c>
      <c r="D48" s="8">
        <v>3.74</v>
      </c>
      <c r="E48" s="12">
        <v>100</v>
      </c>
      <c r="F48" s="8">
        <v>8.66</v>
      </c>
      <c r="G48" s="12">
        <v>3</v>
      </c>
      <c r="H48" s="8">
        <v>0.19</v>
      </c>
      <c r="I48" s="12">
        <v>0</v>
      </c>
    </row>
    <row r="49" spans="2:9" ht="15" customHeight="1" x14ac:dyDescent="0.2">
      <c r="B49" t="s">
        <v>158</v>
      </c>
      <c r="C49" s="12">
        <v>91</v>
      </c>
      <c r="D49" s="8">
        <v>3.31</v>
      </c>
      <c r="E49" s="12">
        <v>55</v>
      </c>
      <c r="F49" s="8">
        <v>4.76</v>
      </c>
      <c r="G49" s="12">
        <v>35</v>
      </c>
      <c r="H49" s="8">
        <v>2.25</v>
      </c>
      <c r="I49" s="12">
        <v>0</v>
      </c>
    </row>
    <row r="50" spans="2:9" ht="15" customHeight="1" x14ac:dyDescent="0.2">
      <c r="B50" t="s">
        <v>155</v>
      </c>
      <c r="C50" s="12">
        <v>84</v>
      </c>
      <c r="D50" s="8">
        <v>3.05</v>
      </c>
      <c r="E50" s="12">
        <v>30</v>
      </c>
      <c r="F50" s="8">
        <v>2.6</v>
      </c>
      <c r="G50" s="12">
        <v>54</v>
      </c>
      <c r="H50" s="8">
        <v>3.47</v>
      </c>
      <c r="I50" s="12">
        <v>0</v>
      </c>
    </row>
    <row r="51" spans="2:9" ht="15" customHeight="1" x14ac:dyDescent="0.2">
      <c r="B51" t="s">
        <v>161</v>
      </c>
      <c r="C51" s="12">
        <v>68</v>
      </c>
      <c r="D51" s="8">
        <v>2.4700000000000002</v>
      </c>
      <c r="E51" s="12">
        <v>59</v>
      </c>
      <c r="F51" s="8">
        <v>5.1100000000000003</v>
      </c>
      <c r="G51" s="12">
        <v>9</v>
      </c>
      <c r="H51" s="8">
        <v>0.57999999999999996</v>
      </c>
      <c r="I51" s="12">
        <v>0</v>
      </c>
    </row>
    <row r="52" spans="2:9" ht="15" customHeight="1" x14ac:dyDescent="0.2">
      <c r="B52" t="s">
        <v>162</v>
      </c>
      <c r="C52" s="12">
        <v>60</v>
      </c>
      <c r="D52" s="8">
        <v>2.1800000000000002</v>
      </c>
      <c r="E52" s="12">
        <v>56</v>
      </c>
      <c r="F52" s="8">
        <v>4.8499999999999996</v>
      </c>
      <c r="G52" s="12">
        <v>4</v>
      </c>
      <c r="H52" s="8">
        <v>0.26</v>
      </c>
      <c r="I52" s="12">
        <v>0</v>
      </c>
    </row>
    <row r="53" spans="2:9" ht="15" customHeight="1" x14ac:dyDescent="0.2">
      <c r="B53" t="s">
        <v>150</v>
      </c>
      <c r="C53" s="12">
        <v>53</v>
      </c>
      <c r="D53" s="8">
        <v>1.93</v>
      </c>
      <c r="E53" s="12">
        <v>23</v>
      </c>
      <c r="F53" s="8">
        <v>1.99</v>
      </c>
      <c r="G53" s="12">
        <v>30</v>
      </c>
      <c r="H53" s="8">
        <v>1.93</v>
      </c>
      <c r="I53" s="12">
        <v>0</v>
      </c>
    </row>
    <row r="54" spans="2:9" ht="15" customHeight="1" x14ac:dyDescent="0.2">
      <c r="B54" t="s">
        <v>167</v>
      </c>
      <c r="C54" s="12">
        <v>53</v>
      </c>
      <c r="D54" s="8">
        <v>1.93</v>
      </c>
      <c r="E54" s="12">
        <v>31</v>
      </c>
      <c r="F54" s="8">
        <v>2.68</v>
      </c>
      <c r="G54" s="12">
        <v>22</v>
      </c>
      <c r="H54" s="8">
        <v>1.41</v>
      </c>
      <c r="I54" s="12">
        <v>0</v>
      </c>
    </row>
    <row r="55" spans="2:9" ht="15" customHeight="1" x14ac:dyDescent="0.2">
      <c r="B55" t="s">
        <v>153</v>
      </c>
      <c r="C55" s="12">
        <v>52</v>
      </c>
      <c r="D55" s="8">
        <v>1.89</v>
      </c>
      <c r="E55" s="12">
        <v>6</v>
      </c>
      <c r="F55" s="8">
        <v>0.52</v>
      </c>
      <c r="G55" s="12">
        <v>46</v>
      </c>
      <c r="H55" s="8">
        <v>2.95</v>
      </c>
      <c r="I55" s="12">
        <v>0</v>
      </c>
    </row>
    <row r="56" spans="2:9" ht="15" customHeight="1" x14ac:dyDescent="0.2">
      <c r="B56" t="s">
        <v>166</v>
      </c>
      <c r="C56" s="12">
        <v>52</v>
      </c>
      <c r="D56" s="8">
        <v>1.89</v>
      </c>
      <c r="E56" s="12">
        <v>45</v>
      </c>
      <c r="F56" s="8">
        <v>3.9</v>
      </c>
      <c r="G56" s="12">
        <v>7</v>
      </c>
      <c r="H56" s="8">
        <v>0.45</v>
      </c>
      <c r="I56" s="12">
        <v>0</v>
      </c>
    </row>
    <row r="57" spans="2:9" ht="15" customHeight="1" x14ac:dyDescent="0.2">
      <c r="B57" t="s">
        <v>165</v>
      </c>
      <c r="C57" s="12">
        <v>51</v>
      </c>
      <c r="D57" s="8">
        <v>1.85</v>
      </c>
      <c r="E57" s="12">
        <v>34</v>
      </c>
      <c r="F57" s="8">
        <v>2.94</v>
      </c>
      <c r="G57" s="12">
        <v>17</v>
      </c>
      <c r="H57" s="8">
        <v>1.0900000000000001</v>
      </c>
      <c r="I57" s="12">
        <v>0</v>
      </c>
    </row>
    <row r="58" spans="2:9" ht="15" customHeight="1" x14ac:dyDescent="0.2">
      <c r="B58" t="s">
        <v>149</v>
      </c>
      <c r="C58" s="12">
        <v>49</v>
      </c>
      <c r="D58" s="8">
        <v>1.78</v>
      </c>
      <c r="E58" s="12">
        <v>10</v>
      </c>
      <c r="F58" s="8">
        <v>0.87</v>
      </c>
      <c r="G58" s="12">
        <v>39</v>
      </c>
      <c r="H58" s="8">
        <v>2.5</v>
      </c>
      <c r="I58" s="12">
        <v>0</v>
      </c>
    </row>
    <row r="59" spans="2:9" ht="15" customHeight="1" x14ac:dyDescent="0.2">
      <c r="B59" t="s">
        <v>157</v>
      </c>
      <c r="C59" s="12">
        <v>48</v>
      </c>
      <c r="D59" s="8">
        <v>1.74</v>
      </c>
      <c r="E59" s="12">
        <v>3</v>
      </c>
      <c r="F59" s="8">
        <v>0.26</v>
      </c>
      <c r="G59" s="12">
        <v>45</v>
      </c>
      <c r="H59" s="8">
        <v>2.89</v>
      </c>
      <c r="I59" s="12">
        <v>0</v>
      </c>
    </row>
    <row r="60" spans="2:9" ht="15" customHeight="1" x14ac:dyDescent="0.2">
      <c r="B60" t="s">
        <v>156</v>
      </c>
      <c r="C60" s="12">
        <v>42</v>
      </c>
      <c r="D60" s="8">
        <v>1.53</v>
      </c>
      <c r="E60" s="12">
        <v>22</v>
      </c>
      <c r="F60" s="8">
        <v>1.9</v>
      </c>
      <c r="G60" s="12">
        <v>19</v>
      </c>
      <c r="H60" s="8">
        <v>1.22</v>
      </c>
      <c r="I60" s="12">
        <v>1</v>
      </c>
    </row>
    <row r="61" spans="2:9" ht="15" customHeight="1" x14ac:dyDescent="0.2">
      <c r="B61" t="s">
        <v>148</v>
      </c>
      <c r="C61" s="12">
        <v>40</v>
      </c>
      <c r="D61" s="8">
        <v>1.45</v>
      </c>
      <c r="E61" s="12">
        <v>6</v>
      </c>
      <c r="F61" s="8">
        <v>0.52</v>
      </c>
      <c r="G61" s="12">
        <v>34</v>
      </c>
      <c r="H61" s="8">
        <v>2.1800000000000002</v>
      </c>
      <c r="I61" s="12">
        <v>0</v>
      </c>
    </row>
    <row r="62" spans="2:9" ht="15" customHeight="1" x14ac:dyDescent="0.2">
      <c r="B62" t="s">
        <v>151</v>
      </c>
      <c r="C62" s="12">
        <v>37</v>
      </c>
      <c r="D62" s="8">
        <v>1.34</v>
      </c>
      <c r="E62" s="12">
        <v>10</v>
      </c>
      <c r="F62" s="8">
        <v>0.87</v>
      </c>
      <c r="G62" s="12">
        <v>27</v>
      </c>
      <c r="H62" s="8">
        <v>1.73</v>
      </c>
      <c r="I62" s="12">
        <v>0</v>
      </c>
    </row>
    <row r="63" spans="2:9" ht="15" customHeight="1" x14ac:dyDescent="0.2">
      <c r="B63" t="s">
        <v>152</v>
      </c>
      <c r="C63" s="12">
        <v>37</v>
      </c>
      <c r="D63" s="8">
        <v>1.34</v>
      </c>
      <c r="E63" s="12">
        <v>6</v>
      </c>
      <c r="F63" s="8">
        <v>0.52</v>
      </c>
      <c r="G63" s="12">
        <v>31</v>
      </c>
      <c r="H63" s="8">
        <v>1.99</v>
      </c>
      <c r="I63" s="12">
        <v>0</v>
      </c>
    </row>
    <row r="64" spans="2:9" ht="15" customHeight="1" x14ac:dyDescent="0.2">
      <c r="B64" t="s">
        <v>169</v>
      </c>
      <c r="C64" s="12">
        <v>36</v>
      </c>
      <c r="D64" s="8">
        <v>1.31</v>
      </c>
      <c r="E64" s="12">
        <v>27</v>
      </c>
      <c r="F64" s="8">
        <v>2.34</v>
      </c>
      <c r="G64" s="12">
        <v>9</v>
      </c>
      <c r="H64" s="8">
        <v>0.57999999999999996</v>
      </c>
      <c r="I64" s="12">
        <v>0</v>
      </c>
    </row>
    <row r="65" spans="2:9" ht="15" customHeight="1" x14ac:dyDescent="0.2">
      <c r="B65" t="s">
        <v>160</v>
      </c>
      <c r="C65" s="12">
        <v>35</v>
      </c>
      <c r="D65" s="8">
        <v>1.27</v>
      </c>
      <c r="E65" s="12">
        <v>10</v>
      </c>
      <c r="F65" s="8">
        <v>0.87</v>
      </c>
      <c r="G65" s="12">
        <v>22</v>
      </c>
      <c r="H65" s="8">
        <v>1.41</v>
      </c>
      <c r="I65" s="12">
        <v>0</v>
      </c>
    </row>
    <row r="66" spans="2:9" ht="15" customHeight="1" x14ac:dyDescent="0.2">
      <c r="B66" t="s">
        <v>196</v>
      </c>
      <c r="C66" s="12">
        <v>32</v>
      </c>
      <c r="D66" s="8">
        <v>1.1599999999999999</v>
      </c>
      <c r="E66" s="12">
        <v>11</v>
      </c>
      <c r="F66" s="8">
        <v>0.95</v>
      </c>
      <c r="G66" s="12">
        <v>21</v>
      </c>
      <c r="H66" s="8">
        <v>1.35</v>
      </c>
      <c r="I66" s="12">
        <v>0</v>
      </c>
    </row>
    <row r="67" spans="2:9" ht="15" customHeight="1" x14ac:dyDescent="0.2">
      <c r="B67" t="s">
        <v>190</v>
      </c>
      <c r="C67" s="12">
        <v>32</v>
      </c>
      <c r="D67" s="8">
        <v>1.1599999999999999</v>
      </c>
      <c r="E67" s="12">
        <v>24</v>
      </c>
      <c r="F67" s="8">
        <v>2.08</v>
      </c>
      <c r="G67" s="12">
        <v>8</v>
      </c>
      <c r="H67" s="8">
        <v>0.51</v>
      </c>
      <c r="I67" s="12">
        <v>0</v>
      </c>
    </row>
    <row r="68" spans="2:9" ht="15" customHeight="1" x14ac:dyDescent="0.2">
      <c r="B68" t="s">
        <v>170</v>
      </c>
      <c r="C68" s="12">
        <v>32</v>
      </c>
      <c r="D68" s="8">
        <v>1.1599999999999999</v>
      </c>
      <c r="E68" s="12">
        <v>30</v>
      </c>
      <c r="F68" s="8">
        <v>2.6</v>
      </c>
      <c r="G68" s="12">
        <v>2</v>
      </c>
      <c r="H68" s="8">
        <v>0.13</v>
      </c>
      <c r="I68" s="12">
        <v>0</v>
      </c>
    </row>
    <row r="70" spans="2:9" ht="15" customHeight="1" x14ac:dyDescent="0.2">
      <c r="B70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C4243-8972-4E77-9F81-DD4734F89E61}">
  <sheetPr>
    <pageSetUpPr fitToPage="1"/>
  </sheetPr>
  <dimension ref="A1:H977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76</v>
      </c>
      <c r="B1" s="7" t="s">
        <v>77</v>
      </c>
      <c r="C1" s="7" t="s">
        <v>78</v>
      </c>
      <c r="D1" s="7" t="s">
        <v>79</v>
      </c>
      <c r="E1" s="7" t="s">
        <v>80</v>
      </c>
      <c r="F1" s="7" t="s">
        <v>81</v>
      </c>
      <c r="G1" s="7" t="s">
        <v>82</v>
      </c>
      <c r="H1" s="7" t="s">
        <v>83</v>
      </c>
    </row>
    <row r="2" spans="1:8" x14ac:dyDescent="0.2">
      <c r="A2" s="1" t="s">
        <v>0</v>
      </c>
      <c r="B2" s="4">
        <v>100547</v>
      </c>
      <c r="C2" s="5">
        <v>100.02</v>
      </c>
      <c r="D2" s="4">
        <v>42541</v>
      </c>
      <c r="E2" s="5">
        <v>100</v>
      </c>
      <c r="F2" s="4">
        <v>57413</v>
      </c>
      <c r="G2" s="5">
        <v>99.99</v>
      </c>
      <c r="H2" s="4">
        <v>85</v>
      </c>
    </row>
    <row r="3" spans="1:8" x14ac:dyDescent="0.2">
      <c r="A3" s="2" t="s">
        <v>61</v>
      </c>
      <c r="B3" s="4">
        <v>20</v>
      </c>
      <c r="C3" s="5">
        <v>0.02</v>
      </c>
      <c r="D3" s="4">
        <v>2</v>
      </c>
      <c r="E3" s="5">
        <v>0</v>
      </c>
      <c r="F3" s="4">
        <v>18</v>
      </c>
      <c r="G3" s="5">
        <v>0.03</v>
      </c>
      <c r="H3" s="4">
        <v>0</v>
      </c>
    </row>
    <row r="4" spans="1:8" x14ac:dyDescent="0.2">
      <c r="A4" s="2" t="s">
        <v>62</v>
      </c>
      <c r="B4" s="4">
        <v>16065</v>
      </c>
      <c r="C4" s="5">
        <v>15.98</v>
      </c>
      <c r="D4" s="4">
        <v>3425</v>
      </c>
      <c r="E4" s="5">
        <v>8.0500000000000007</v>
      </c>
      <c r="F4" s="4">
        <v>12639</v>
      </c>
      <c r="G4" s="5">
        <v>22.01</v>
      </c>
      <c r="H4" s="4">
        <v>1</v>
      </c>
    </row>
    <row r="5" spans="1:8" x14ac:dyDescent="0.2">
      <c r="A5" s="2" t="s">
        <v>63</v>
      </c>
      <c r="B5" s="4">
        <v>6343</v>
      </c>
      <c r="C5" s="5">
        <v>6.31</v>
      </c>
      <c r="D5" s="4">
        <v>1570</v>
      </c>
      <c r="E5" s="5">
        <v>3.69</v>
      </c>
      <c r="F5" s="4">
        <v>4770</v>
      </c>
      <c r="G5" s="5">
        <v>8.31</v>
      </c>
      <c r="H5" s="4">
        <v>3</v>
      </c>
    </row>
    <row r="6" spans="1:8" x14ac:dyDescent="0.2">
      <c r="A6" s="2" t="s">
        <v>64</v>
      </c>
      <c r="B6" s="4">
        <v>231</v>
      </c>
      <c r="C6" s="5">
        <v>0.23</v>
      </c>
      <c r="D6" s="4">
        <v>1</v>
      </c>
      <c r="E6" s="5">
        <v>0</v>
      </c>
      <c r="F6" s="4">
        <v>212</v>
      </c>
      <c r="G6" s="5">
        <v>0.37</v>
      </c>
      <c r="H6" s="4">
        <v>0</v>
      </c>
    </row>
    <row r="7" spans="1:8" x14ac:dyDescent="0.2">
      <c r="A7" s="2" t="s">
        <v>65</v>
      </c>
      <c r="B7" s="4">
        <v>1315</v>
      </c>
      <c r="C7" s="5">
        <v>1.31</v>
      </c>
      <c r="D7" s="4">
        <v>31</v>
      </c>
      <c r="E7" s="5">
        <v>7.0000000000000007E-2</v>
      </c>
      <c r="F7" s="4">
        <v>1284</v>
      </c>
      <c r="G7" s="5">
        <v>2.2400000000000002</v>
      </c>
      <c r="H7" s="4">
        <v>0</v>
      </c>
    </row>
    <row r="8" spans="1:8" x14ac:dyDescent="0.2">
      <c r="A8" s="2" t="s">
        <v>66</v>
      </c>
      <c r="B8" s="4">
        <v>1335</v>
      </c>
      <c r="C8" s="5">
        <v>1.33</v>
      </c>
      <c r="D8" s="4">
        <v>144</v>
      </c>
      <c r="E8" s="5">
        <v>0.34</v>
      </c>
      <c r="F8" s="4">
        <v>1181</v>
      </c>
      <c r="G8" s="5">
        <v>2.06</v>
      </c>
      <c r="H8" s="4">
        <v>8</v>
      </c>
    </row>
    <row r="9" spans="1:8" x14ac:dyDescent="0.2">
      <c r="A9" s="2" t="s">
        <v>67</v>
      </c>
      <c r="B9" s="4">
        <v>21133</v>
      </c>
      <c r="C9" s="5">
        <v>21.02</v>
      </c>
      <c r="D9" s="4">
        <v>7600</v>
      </c>
      <c r="E9" s="5">
        <v>17.87</v>
      </c>
      <c r="F9" s="4">
        <v>13516</v>
      </c>
      <c r="G9" s="5">
        <v>23.54</v>
      </c>
      <c r="H9" s="4">
        <v>17</v>
      </c>
    </row>
    <row r="10" spans="1:8" x14ac:dyDescent="0.2">
      <c r="A10" s="2" t="s">
        <v>68</v>
      </c>
      <c r="B10" s="4">
        <v>701</v>
      </c>
      <c r="C10" s="5">
        <v>0.7</v>
      </c>
      <c r="D10" s="4">
        <v>85</v>
      </c>
      <c r="E10" s="5">
        <v>0.2</v>
      </c>
      <c r="F10" s="4">
        <v>615</v>
      </c>
      <c r="G10" s="5">
        <v>1.07</v>
      </c>
      <c r="H10" s="4">
        <v>0</v>
      </c>
    </row>
    <row r="11" spans="1:8" x14ac:dyDescent="0.2">
      <c r="A11" s="2" t="s">
        <v>69</v>
      </c>
      <c r="B11" s="4">
        <v>10224</v>
      </c>
      <c r="C11" s="5">
        <v>10.17</v>
      </c>
      <c r="D11" s="4">
        <v>2396</v>
      </c>
      <c r="E11" s="5">
        <v>5.63</v>
      </c>
      <c r="F11" s="4">
        <v>7805</v>
      </c>
      <c r="G11" s="5">
        <v>13.59</v>
      </c>
      <c r="H11" s="4">
        <v>12</v>
      </c>
    </row>
    <row r="12" spans="1:8" x14ac:dyDescent="0.2">
      <c r="A12" s="2" t="s">
        <v>70</v>
      </c>
      <c r="B12" s="4">
        <v>5598</v>
      </c>
      <c r="C12" s="5">
        <v>5.57</v>
      </c>
      <c r="D12" s="4">
        <v>2182</v>
      </c>
      <c r="E12" s="5">
        <v>5.13</v>
      </c>
      <c r="F12" s="4">
        <v>3390</v>
      </c>
      <c r="G12" s="5">
        <v>5.9</v>
      </c>
      <c r="H12" s="4">
        <v>5</v>
      </c>
    </row>
    <row r="13" spans="1:8" x14ac:dyDescent="0.2">
      <c r="A13" s="2" t="s">
        <v>71</v>
      </c>
      <c r="B13" s="4">
        <v>11096</v>
      </c>
      <c r="C13" s="5">
        <v>11.04</v>
      </c>
      <c r="D13" s="4">
        <v>8538</v>
      </c>
      <c r="E13" s="5">
        <v>20.07</v>
      </c>
      <c r="F13" s="4">
        <v>2525</v>
      </c>
      <c r="G13" s="5">
        <v>4.4000000000000004</v>
      </c>
      <c r="H13" s="4">
        <v>2</v>
      </c>
    </row>
    <row r="14" spans="1:8" x14ac:dyDescent="0.2">
      <c r="A14" s="2" t="s">
        <v>72</v>
      </c>
      <c r="B14" s="4">
        <v>13367</v>
      </c>
      <c r="C14" s="5">
        <v>13.29</v>
      </c>
      <c r="D14" s="4">
        <v>9814</v>
      </c>
      <c r="E14" s="5">
        <v>23.07</v>
      </c>
      <c r="F14" s="4">
        <v>3455</v>
      </c>
      <c r="G14" s="5">
        <v>6.02</v>
      </c>
      <c r="H14" s="4">
        <v>9</v>
      </c>
    </row>
    <row r="15" spans="1:8" x14ac:dyDescent="0.2">
      <c r="A15" s="2" t="s">
        <v>73</v>
      </c>
      <c r="B15" s="4">
        <v>3718</v>
      </c>
      <c r="C15" s="5">
        <v>3.7</v>
      </c>
      <c r="D15" s="4">
        <v>2260</v>
      </c>
      <c r="E15" s="5">
        <v>5.31</v>
      </c>
      <c r="F15" s="4">
        <v>1304</v>
      </c>
      <c r="G15" s="5">
        <v>2.27</v>
      </c>
      <c r="H15" s="4">
        <v>6</v>
      </c>
    </row>
    <row r="16" spans="1:8" x14ac:dyDescent="0.2">
      <c r="A16" s="2" t="s">
        <v>74</v>
      </c>
      <c r="B16" s="4">
        <v>5424</v>
      </c>
      <c r="C16" s="5">
        <v>5.39</v>
      </c>
      <c r="D16" s="4">
        <v>3325</v>
      </c>
      <c r="E16" s="5">
        <v>7.82</v>
      </c>
      <c r="F16" s="4">
        <v>1976</v>
      </c>
      <c r="G16" s="5">
        <v>3.44</v>
      </c>
      <c r="H16" s="4">
        <v>5</v>
      </c>
    </row>
    <row r="17" spans="1:8" x14ac:dyDescent="0.2">
      <c r="A17" s="2" t="s">
        <v>75</v>
      </c>
      <c r="B17" s="4">
        <v>3977</v>
      </c>
      <c r="C17" s="5">
        <v>3.96</v>
      </c>
      <c r="D17" s="4">
        <v>1168</v>
      </c>
      <c r="E17" s="5">
        <v>2.75</v>
      </c>
      <c r="F17" s="4">
        <v>2723</v>
      </c>
      <c r="G17" s="5">
        <v>4.74</v>
      </c>
      <c r="H17" s="4">
        <v>17</v>
      </c>
    </row>
    <row r="18" spans="1:8" x14ac:dyDescent="0.2">
      <c r="A18" s="1" t="s">
        <v>1</v>
      </c>
      <c r="B18" s="4">
        <v>13238</v>
      </c>
      <c r="C18" s="5">
        <v>100.01000000000002</v>
      </c>
      <c r="D18" s="4">
        <v>4349</v>
      </c>
      <c r="E18" s="5">
        <v>99.99</v>
      </c>
      <c r="F18" s="4">
        <v>8871</v>
      </c>
      <c r="G18" s="5">
        <v>99.97999999999999</v>
      </c>
      <c r="H18" s="4">
        <v>14</v>
      </c>
    </row>
    <row r="19" spans="1:8" x14ac:dyDescent="0.2">
      <c r="A19" s="2" t="s">
        <v>61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2">
      <c r="A20" s="2" t="s">
        <v>62</v>
      </c>
      <c r="B20" s="4">
        <v>2087</v>
      </c>
      <c r="C20" s="5">
        <v>15.77</v>
      </c>
      <c r="D20" s="4">
        <v>137</v>
      </c>
      <c r="E20" s="5">
        <v>3.15</v>
      </c>
      <c r="F20" s="4">
        <v>1950</v>
      </c>
      <c r="G20" s="5">
        <v>21.98</v>
      </c>
      <c r="H20" s="4">
        <v>0</v>
      </c>
    </row>
    <row r="21" spans="1:8" x14ac:dyDescent="0.2">
      <c r="A21" s="2" t="s">
        <v>63</v>
      </c>
      <c r="B21" s="4">
        <v>597</v>
      </c>
      <c r="C21" s="5">
        <v>4.51</v>
      </c>
      <c r="D21" s="4">
        <v>77</v>
      </c>
      <c r="E21" s="5">
        <v>1.77</v>
      </c>
      <c r="F21" s="4">
        <v>520</v>
      </c>
      <c r="G21" s="5">
        <v>5.86</v>
      </c>
      <c r="H21" s="4">
        <v>0</v>
      </c>
    </row>
    <row r="22" spans="1:8" x14ac:dyDescent="0.2">
      <c r="A22" s="2" t="s">
        <v>64</v>
      </c>
      <c r="B22" s="4">
        <v>54</v>
      </c>
      <c r="C22" s="5">
        <v>0.41</v>
      </c>
      <c r="D22" s="4">
        <v>0</v>
      </c>
      <c r="E22" s="5">
        <v>0</v>
      </c>
      <c r="F22" s="4">
        <v>54</v>
      </c>
      <c r="G22" s="5">
        <v>0.61</v>
      </c>
      <c r="H22" s="4">
        <v>0</v>
      </c>
    </row>
    <row r="23" spans="1:8" x14ac:dyDescent="0.2">
      <c r="A23" s="2" t="s">
        <v>65</v>
      </c>
      <c r="B23" s="4">
        <v>208</v>
      </c>
      <c r="C23" s="5">
        <v>1.57</v>
      </c>
      <c r="D23" s="4">
        <v>5</v>
      </c>
      <c r="E23" s="5">
        <v>0.11</v>
      </c>
      <c r="F23" s="4">
        <v>203</v>
      </c>
      <c r="G23" s="5">
        <v>2.29</v>
      </c>
      <c r="H23" s="4">
        <v>0</v>
      </c>
    </row>
    <row r="24" spans="1:8" x14ac:dyDescent="0.2">
      <c r="A24" s="2" t="s">
        <v>66</v>
      </c>
      <c r="B24" s="4">
        <v>196</v>
      </c>
      <c r="C24" s="5">
        <v>1.48</v>
      </c>
      <c r="D24" s="4">
        <v>27</v>
      </c>
      <c r="E24" s="5">
        <v>0.62</v>
      </c>
      <c r="F24" s="4">
        <v>168</v>
      </c>
      <c r="G24" s="5">
        <v>1.89</v>
      </c>
      <c r="H24" s="4">
        <v>1</v>
      </c>
    </row>
    <row r="25" spans="1:8" x14ac:dyDescent="0.2">
      <c r="A25" s="2" t="s">
        <v>67</v>
      </c>
      <c r="B25" s="4">
        <v>2707</v>
      </c>
      <c r="C25" s="5">
        <v>20.45</v>
      </c>
      <c r="D25" s="4">
        <v>638</v>
      </c>
      <c r="E25" s="5">
        <v>14.67</v>
      </c>
      <c r="F25" s="4">
        <v>2067</v>
      </c>
      <c r="G25" s="5">
        <v>23.3</v>
      </c>
      <c r="H25" s="4">
        <v>2</v>
      </c>
    </row>
    <row r="26" spans="1:8" x14ac:dyDescent="0.2">
      <c r="A26" s="2" t="s">
        <v>68</v>
      </c>
      <c r="B26" s="4">
        <v>127</v>
      </c>
      <c r="C26" s="5">
        <v>0.96</v>
      </c>
      <c r="D26" s="4">
        <v>7</v>
      </c>
      <c r="E26" s="5">
        <v>0.16</v>
      </c>
      <c r="F26" s="4">
        <v>120</v>
      </c>
      <c r="G26" s="5">
        <v>1.35</v>
      </c>
      <c r="H26" s="4">
        <v>0</v>
      </c>
    </row>
    <row r="27" spans="1:8" x14ac:dyDescent="0.2">
      <c r="A27" s="2" t="s">
        <v>69</v>
      </c>
      <c r="B27" s="4">
        <v>1646</v>
      </c>
      <c r="C27" s="5">
        <v>12.43</v>
      </c>
      <c r="D27" s="4">
        <v>404</v>
      </c>
      <c r="E27" s="5">
        <v>9.2899999999999991</v>
      </c>
      <c r="F27" s="4">
        <v>1240</v>
      </c>
      <c r="G27" s="5">
        <v>13.98</v>
      </c>
      <c r="H27" s="4">
        <v>2</v>
      </c>
    </row>
    <row r="28" spans="1:8" x14ac:dyDescent="0.2">
      <c r="A28" s="2" t="s">
        <v>70</v>
      </c>
      <c r="B28" s="4">
        <v>1012</v>
      </c>
      <c r="C28" s="5">
        <v>7.64</v>
      </c>
      <c r="D28" s="4">
        <v>370</v>
      </c>
      <c r="E28" s="5">
        <v>8.51</v>
      </c>
      <c r="F28" s="4">
        <v>640</v>
      </c>
      <c r="G28" s="5">
        <v>7.21</v>
      </c>
      <c r="H28" s="4">
        <v>1</v>
      </c>
    </row>
    <row r="29" spans="1:8" x14ac:dyDescent="0.2">
      <c r="A29" s="2" t="s">
        <v>71</v>
      </c>
      <c r="B29" s="4">
        <v>1126</v>
      </c>
      <c r="C29" s="5">
        <v>8.51</v>
      </c>
      <c r="D29" s="4">
        <v>732</v>
      </c>
      <c r="E29" s="5">
        <v>16.829999999999998</v>
      </c>
      <c r="F29" s="4">
        <v>394</v>
      </c>
      <c r="G29" s="5">
        <v>4.4400000000000004</v>
      </c>
      <c r="H29" s="4">
        <v>0</v>
      </c>
    </row>
    <row r="30" spans="1:8" x14ac:dyDescent="0.2">
      <c r="A30" s="2" t="s">
        <v>72</v>
      </c>
      <c r="B30" s="4">
        <v>1714</v>
      </c>
      <c r="C30" s="5">
        <v>12.95</v>
      </c>
      <c r="D30" s="4">
        <v>1152</v>
      </c>
      <c r="E30" s="5">
        <v>26.49</v>
      </c>
      <c r="F30" s="4">
        <v>561</v>
      </c>
      <c r="G30" s="5">
        <v>6.32</v>
      </c>
      <c r="H30" s="4">
        <v>1</v>
      </c>
    </row>
    <row r="31" spans="1:8" x14ac:dyDescent="0.2">
      <c r="A31" s="2" t="s">
        <v>73</v>
      </c>
      <c r="B31" s="4">
        <v>454</v>
      </c>
      <c r="C31" s="5">
        <v>3.43</v>
      </c>
      <c r="D31" s="4">
        <v>244</v>
      </c>
      <c r="E31" s="5">
        <v>5.61</v>
      </c>
      <c r="F31" s="4">
        <v>207</v>
      </c>
      <c r="G31" s="5">
        <v>2.33</v>
      </c>
      <c r="H31" s="4">
        <v>2</v>
      </c>
    </row>
    <row r="32" spans="1:8" x14ac:dyDescent="0.2">
      <c r="A32" s="2" t="s">
        <v>74</v>
      </c>
      <c r="B32" s="4">
        <v>769</v>
      </c>
      <c r="C32" s="5">
        <v>5.81</v>
      </c>
      <c r="D32" s="4">
        <v>472</v>
      </c>
      <c r="E32" s="5">
        <v>10.85</v>
      </c>
      <c r="F32" s="4">
        <v>296</v>
      </c>
      <c r="G32" s="5">
        <v>3.34</v>
      </c>
      <c r="H32" s="4">
        <v>1</v>
      </c>
    </row>
    <row r="33" spans="1:8" x14ac:dyDescent="0.2">
      <c r="A33" s="2" t="s">
        <v>75</v>
      </c>
      <c r="B33" s="4">
        <v>541</v>
      </c>
      <c r="C33" s="5">
        <v>4.09</v>
      </c>
      <c r="D33" s="4">
        <v>84</v>
      </c>
      <c r="E33" s="5">
        <v>1.93</v>
      </c>
      <c r="F33" s="4">
        <v>451</v>
      </c>
      <c r="G33" s="5">
        <v>5.08</v>
      </c>
      <c r="H33" s="4">
        <v>4</v>
      </c>
    </row>
    <row r="34" spans="1:8" x14ac:dyDescent="0.2">
      <c r="A34" s="1" t="s">
        <v>2</v>
      </c>
      <c r="B34" s="4">
        <v>4639</v>
      </c>
      <c r="C34" s="5">
        <v>99.990000000000009</v>
      </c>
      <c r="D34" s="4">
        <v>1615</v>
      </c>
      <c r="E34" s="5">
        <v>100</v>
      </c>
      <c r="F34" s="4">
        <v>3015</v>
      </c>
      <c r="G34" s="5">
        <v>100.00000000000001</v>
      </c>
      <c r="H34" s="4">
        <v>7</v>
      </c>
    </row>
    <row r="35" spans="1:8" x14ac:dyDescent="0.2">
      <c r="A35" s="2" t="s">
        <v>61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62</v>
      </c>
      <c r="B36" s="4">
        <v>580</v>
      </c>
      <c r="C36" s="5">
        <v>12.5</v>
      </c>
      <c r="D36" s="4">
        <v>25</v>
      </c>
      <c r="E36" s="5">
        <v>1.55</v>
      </c>
      <c r="F36" s="4">
        <v>555</v>
      </c>
      <c r="G36" s="5">
        <v>18.41</v>
      </c>
      <c r="H36" s="4">
        <v>0</v>
      </c>
    </row>
    <row r="37" spans="1:8" x14ac:dyDescent="0.2">
      <c r="A37" s="2" t="s">
        <v>63</v>
      </c>
      <c r="B37" s="4">
        <v>149</v>
      </c>
      <c r="C37" s="5">
        <v>3.21</v>
      </c>
      <c r="D37" s="4">
        <v>22</v>
      </c>
      <c r="E37" s="5">
        <v>1.36</v>
      </c>
      <c r="F37" s="4">
        <v>127</v>
      </c>
      <c r="G37" s="5">
        <v>4.21</v>
      </c>
      <c r="H37" s="4">
        <v>0</v>
      </c>
    </row>
    <row r="38" spans="1:8" x14ac:dyDescent="0.2">
      <c r="A38" s="2" t="s">
        <v>64</v>
      </c>
      <c r="B38" s="4">
        <v>43</v>
      </c>
      <c r="C38" s="5">
        <v>0.93</v>
      </c>
      <c r="D38" s="4">
        <v>0</v>
      </c>
      <c r="E38" s="5">
        <v>0</v>
      </c>
      <c r="F38" s="4">
        <v>43</v>
      </c>
      <c r="G38" s="5">
        <v>1.43</v>
      </c>
      <c r="H38" s="4">
        <v>0</v>
      </c>
    </row>
    <row r="39" spans="1:8" x14ac:dyDescent="0.2">
      <c r="A39" s="2" t="s">
        <v>65</v>
      </c>
      <c r="B39" s="4">
        <v>61</v>
      </c>
      <c r="C39" s="5">
        <v>1.31</v>
      </c>
      <c r="D39" s="4">
        <v>2</v>
      </c>
      <c r="E39" s="5">
        <v>0.12</v>
      </c>
      <c r="F39" s="4">
        <v>59</v>
      </c>
      <c r="G39" s="5">
        <v>1.96</v>
      </c>
      <c r="H39" s="4">
        <v>0</v>
      </c>
    </row>
    <row r="40" spans="1:8" x14ac:dyDescent="0.2">
      <c r="A40" s="2" t="s">
        <v>66</v>
      </c>
      <c r="B40" s="4">
        <v>67</v>
      </c>
      <c r="C40" s="5">
        <v>1.44</v>
      </c>
      <c r="D40" s="4">
        <v>8</v>
      </c>
      <c r="E40" s="5">
        <v>0.5</v>
      </c>
      <c r="F40" s="4">
        <v>59</v>
      </c>
      <c r="G40" s="5">
        <v>1.96</v>
      </c>
      <c r="H40" s="4">
        <v>0</v>
      </c>
    </row>
    <row r="41" spans="1:8" x14ac:dyDescent="0.2">
      <c r="A41" s="2" t="s">
        <v>67</v>
      </c>
      <c r="B41" s="4">
        <v>945</v>
      </c>
      <c r="C41" s="5">
        <v>20.37</v>
      </c>
      <c r="D41" s="4">
        <v>204</v>
      </c>
      <c r="E41" s="5">
        <v>12.63</v>
      </c>
      <c r="F41" s="4">
        <v>740</v>
      </c>
      <c r="G41" s="5">
        <v>24.54</v>
      </c>
      <c r="H41" s="4">
        <v>1</v>
      </c>
    </row>
    <row r="42" spans="1:8" x14ac:dyDescent="0.2">
      <c r="A42" s="2" t="s">
        <v>68</v>
      </c>
      <c r="B42" s="4">
        <v>62</v>
      </c>
      <c r="C42" s="5">
        <v>1.34</v>
      </c>
      <c r="D42" s="4">
        <v>2</v>
      </c>
      <c r="E42" s="5">
        <v>0.12</v>
      </c>
      <c r="F42" s="4">
        <v>60</v>
      </c>
      <c r="G42" s="5">
        <v>1.99</v>
      </c>
      <c r="H42" s="4">
        <v>0</v>
      </c>
    </row>
    <row r="43" spans="1:8" x14ac:dyDescent="0.2">
      <c r="A43" s="2" t="s">
        <v>69</v>
      </c>
      <c r="B43" s="4">
        <v>672</v>
      </c>
      <c r="C43" s="5">
        <v>14.49</v>
      </c>
      <c r="D43" s="4">
        <v>204</v>
      </c>
      <c r="E43" s="5">
        <v>12.63</v>
      </c>
      <c r="F43" s="4">
        <v>467</v>
      </c>
      <c r="G43" s="5">
        <v>15.49</v>
      </c>
      <c r="H43" s="4">
        <v>1</v>
      </c>
    </row>
    <row r="44" spans="1:8" x14ac:dyDescent="0.2">
      <c r="A44" s="2" t="s">
        <v>70</v>
      </c>
      <c r="B44" s="4">
        <v>503</v>
      </c>
      <c r="C44" s="5">
        <v>10.84</v>
      </c>
      <c r="D44" s="4">
        <v>229</v>
      </c>
      <c r="E44" s="5">
        <v>14.18</v>
      </c>
      <c r="F44" s="4">
        <v>273</v>
      </c>
      <c r="G44" s="5">
        <v>9.0500000000000007</v>
      </c>
      <c r="H44" s="4">
        <v>0</v>
      </c>
    </row>
    <row r="45" spans="1:8" x14ac:dyDescent="0.2">
      <c r="A45" s="2" t="s">
        <v>71</v>
      </c>
      <c r="B45" s="4">
        <v>476</v>
      </c>
      <c r="C45" s="5">
        <v>10.26</v>
      </c>
      <c r="D45" s="4">
        <v>317</v>
      </c>
      <c r="E45" s="5">
        <v>19.63</v>
      </c>
      <c r="F45" s="4">
        <v>159</v>
      </c>
      <c r="G45" s="5">
        <v>5.27</v>
      </c>
      <c r="H45" s="4">
        <v>0</v>
      </c>
    </row>
    <row r="46" spans="1:8" x14ac:dyDescent="0.2">
      <c r="A46" s="2" t="s">
        <v>72</v>
      </c>
      <c r="B46" s="4">
        <v>567</v>
      </c>
      <c r="C46" s="5">
        <v>12.22</v>
      </c>
      <c r="D46" s="4">
        <v>374</v>
      </c>
      <c r="E46" s="5">
        <v>23.16</v>
      </c>
      <c r="F46" s="4">
        <v>192</v>
      </c>
      <c r="G46" s="5">
        <v>6.37</v>
      </c>
      <c r="H46" s="4">
        <v>1</v>
      </c>
    </row>
    <row r="47" spans="1:8" x14ac:dyDescent="0.2">
      <c r="A47" s="2" t="s">
        <v>73</v>
      </c>
      <c r="B47" s="4">
        <v>130</v>
      </c>
      <c r="C47" s="5">
        <v>2.8</v>
      </c>
      <c r="D47" s="4">
        <v>73</v>
      </c>
      <c r="E47" s="5">
        <v>4.5199999999999996</v>
      </c>
      <c r="F47" s="4">
        <v>56</v>
      </c>
      <c r="G47" s="5">
        <v>1.86</v>
      </c>
      <c r="H47" s="4">
        <v>1</v>
      </c>
    </row>
    <row r="48" spans="1:8" x14ac:dyDescent="0.2">
      <c r="A48" s="2" t="s">
        <v>74</v>
      </c>
      <c r="B48" s="4">
        <v>233</v>
      </c>
      <c r="C48" s="5">
        <v>5.0199999999999996</v>
      </c>
      <c r="D48" s="4">
        <v>144</v>
      </c>
      <c r="E48" s="5">
        <v>8.92</v>
      </c>
      <c r="F48" s="4">
        <v>88</v>
      </c>
      <c r="G48" s="5">
        <v>2.92</v>
      </c>
      <c r="H48" s="4">
        <v>1</v>
      </c>
    </row>
    <row r="49" spans="1:8" x14ac:dyDescent="0.2">
      <c r="A49" s="2" t="s">
        <v>75</v>
      </c>
      <c r="B49" s="4">
        <v>151</v>
      </c>
      <c r="C49" s="5">
        <v>3.26</v>
      </c>
      <c r="D49" s="4">
        <v>11</v>
      </c>
      <c r="E49" s="5">
        <v>0.68</v>
      </c>
      <c r="F49" s="4">
        <v>137</v>
      </c>
      <c r="G49" s="5">
        <v>4.54</v>
      </c>
      <c r="H49" s="4">
        <v>2</v>
      </c>
    </row>
    <row r="50" spans="1:8" x14ac:dyDescent="0.2">
      <c r="A50" s="1" t="s">
        <v>3</v>
      </c>
      <c r="B50" s="4">
        <v>2082</v>
      </c>
      <c r="C50" s="5">
        <v>99.990000000000009</v>
      </c>
      <c r="D50" s="4">
        <v>743</v>
      </c>
      <c r="E50" s="5">
        <v>100</v>
      </c>
      <c r="F50" s="4">
        <v>1338</v>
      </c>
      <c r="G50" s="5">
        <v>99.990000000000009</v>
      </c>
      <c r="H50" s="4">
        <v>1</v>
      </c>
    </row>
    <row r="51" spans="1:8" x14ac:dyDescent="0.2">
      <c r="A51" s="2" t="s">
        <v>61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62</v>
      </c>
      <c r="B52" s="4">
        <v>394</v>
      </c>
      <c r="C52" s="5">
        <v>18.920000000000002</v>
      </c>
      <c r="D52" s="4">
        <v>34</v>
      </c>
      <c r="E52" s="5">
        <v>4.58</v>
      </c>
      <c r="F52" s="4">
        <v>360</v>
      </c>
      <c r="G52" s="5">
        <v>26.91</v>
      </c>
      <c r="H52" s="4">
        <v>0</v>
      </c>
    </row>
    <row r="53" spans="1:8" x14ac:dyDescent="0.2">
      <c r="A53" s="2" t="s">
        <v>63</v>
      </c>
      <c r="B53" s="4">
        <v>135</v>
      </c>
      <c r="C53" s="5">
        <v>6.48</v>
      </c>
      <c r="D53" s="4">
        <v>18</v>
      </c>
      <c r="E53" s="5">
        <v>2.42</v>
      </c>
      <c r="F53" s="4">
        <v>117</v>
      </c>
      <c r="G53" s="5">
        <v>8.74</v>
      </c>
      <c r="H53" s="4">
        <v>0</v>
      </c>
    </row>
    <row r="54" spans="1:8" x14ac:dyDescent="0.2">
      <c r="A54" s="2" t="s">
        <v>64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2">
      <c r="A55" s="2" t="s">
        <v>65</v>
      </c>
      <c r="B55" s="4">
        <v>31</v>
      </c>
      <c r="C55" s="5">
        <v>1.49</v>
      </c>
      <c r="D55" s="4">
        <v>1</v>
      </c>
      <c r="E55" s="5">
        <v>0.13</v>
      </c>
      <c r="F55" s="4">
        <v>30</v>
      </c>
      <c r="G55" s="5">
        <v>2.2400000000000002</v>
      </c>
      <c r="H55" s="4">
        <v>0</v>
      </c>
    </row>
    <row r="56" spans="1:8" x14ac:dyDescent="0.2">
      <c r="A56" s="2" t="s">
        <v>66</v>
      </c>
      <c r="B56" s="4">
        <v>28</v>
      </c>
      <c r="C56" s="5">
        <v>1.34</v>
      </c>
      <c r="D56" s="4">
        <v>4</v>
      </c>
      <c r="E56" s="5">
        <v>0.54</v>
      </c>
      <c r="F56" s="4">
        <v>24</v>
      </c>
      <c r="G56" s="5">
        <v>1.79</v>
      </c>
      <c r="H56" s="4">
        <v>0</v>
      </c>
    </row>
    <row r="57" spans="1:8" x14ac:dyDescent="0.2">
      <c r="A57" s="2" t="s">
        <v>67</v>
      </c>
      <c r="B57" s="4">
        <v>391</v>
      </c>
      <c r="C57" s="5">
        <v>18.78</v>
      </c>
      <c r="D57" s="4">
        <v>129</v>
      </c>
      <c r="E57" s="5">
        <v>17.36</v>
      </c>
      <c r="F57" s="4">
        <v>261</v>
      </c>
      <c r="G57" s="5">
        <v>19.510000000000002</v>
      </c>
      <c r="H57" s="4">
        <v>1</v>
      </c>
    </row>
    <row r="58" spans="1:8" x14ac:dyDescent="0.2">
      <c r="A58" s="2" t="s">
        <v>68</v>
      </c>
      <c r="B58" s="4">
        <v>18</v>
      </c>
      <c r="C58" s="5">
        <v>0.86</v>
      </c>
      <c r="D58" s="4">
        <v>1</v>
      </c>
      <c r="E58" s="5">
        <v>0.13</v>
      </c>
      <c r="F58" s="4">
        <v>17</v>
      </c>
      <c r="G58" s="5">
        <v>1.27</v>
      </c>
      <c r="H58" s="4">
        <v>0</v>
      </c>
    </row>
    <row r="59" spans="1:8" x14ac:dyDescent="0.2">
      <c r="A59" s="2" t="s">
        <v>69</v>
      </c>
      <c r="B59" s="4">
        <v>282</v>
      </c>
      <c r="C59" s="5">
        <v>13.54</v>
      </c>
      <c r="D59" s="4">
        <v>85</v>
      </c>
      <c r="E59" s="5">
        <v>11.44</v>
      </c>
      <c r="F59" s="4">
        <v>197</v>
      </c>
      <c r="G59" s="5">
        <v>14.72</v>
      </c>
      <c r="H59" s="4">
        <v>0</v>
      </c>
    </row>
    <row r="60" spans="1:8" x14ac:dyDescent="0.2">
      <c r="A60" s="2" t="s">
        <v>70</v>
      </c>
      <c r="B60" s="4">
        <v>101</v>
      </c>
      <c r="C60" s="5">
        <v>4.8499999999999996</v>
      </c>
      <c r="D60" s="4">
        <v>34</v>
      </c>
      <c r="E60" s="5">
        <v>4.58</v>
      </c>
      <c r="F60" s="4">
        <v>67</v>
      </c>
      <c r="G60" s="5">
        <v>5.01</v>
      </c>
      <c r="H60" s="4">
        <v>0</v>
      </c>
    </row>
    <row r="61" spans="1:8" x14ac:dyDescent="0.2">
      <c r="A61" s="2" t="s">
        <v>71</v>
      </c>
      <c r="B61" s="4">
        <v>144</v>
      </c>
      <c r="C61" s="5">
        <v>6.92</v>
      </c>
      <c r="D61" s="4">
        <v>104</v>
      </c>
      <c r="E61" s="5">
        <v>14</v>
      </c>
      <c r="F61" s="4">
        <v>40</v>
      </c>
      <c r="G61" s="5">
        <v>2.99</v>
      </c>
      <c r="H61" s="4">
        <v>0</v>
      </c>
    </row>
    <row r="62" spans="1:8" x14ac:dyDescent="0.2">
      <c r="A62" s="2" t="s">
        <v>72</v>
      </c>
      <c r="B62" s="4">
        <v>266</v>
      </c>
      <c r="C62" s="5">
        <v>12.78</v>
      </c>
      <c r="D62" s="4">
        <v>190</v>
      </c>
      <c r="E62" s="5">
        <v>25.57</v>
      </c>
      <c r="F62" s="4">
        <v>76</v>
      </c>
      <c r="G62" s="5">
        <v>5.68</v>
      </c>
      <c r="H62" s="4">
        <v>0</v>
      </c>
    </row>
    <row r="63" spans="1:8" x14ac:dyDescent="0.2">
      <c r="A63" s="2" t="s">
        <v>73</v>
      </c>
      <c r="B63" s="4">
        <v>66</v>
      </c>
      <c r="C63" s="5">
        <v>3.17</v>
      </c>
      <c r="D63" s="4">
        <v>42</v>
      </c>
      <c r="E63" s="5">
        <v>5.65</v>
      </c>
      <c r="F63" s="4">
        <v>24</v>
      </c>
      <c r="G63" s="5">
        <v>1.79</v>
      </c>
      <c r="H63" s="4">
        <v>0</v>
      </c>
    </row>
    <row r="64" spans="1:8" x14ac:dyDescent="0.2">
      <c r="A64" s="2" t="s">
        <v>74</v>
      </c>
      <c r="B64" s="4">
        <v>133</v>
      </c>
      <c r="C64" s="5">
        <v>6.39</v>
      </c>
      <c r="D64" s="4">
        <v>80</v>
      </c>
      <c r="E64" s="5">
        <v>10.77</v>
      </c>
      <c r="F64" s="4">
        <v>53</v>
      </c>
      <c r="G64" s="5">
        <v>3.96</v>
      </c>
      <c r="H64" s="4">
        <v>0</v>
      </c>
    </row>
    <row r="65" spans="1:8" x14ac:dyDescent="0.2">
      <c r="A65" s="2" t="s">
        <v>75</v>
      </c>
      <c r="B65" s="4">
        <v>93</v>
      </c>
      <c r="C65" s="5">
        <v>4.47</v>
      </c>
      <c r="D65" s="4">
        <v>21</v>
      </c>
      <c r="E65" s="5">
        <v>2.83</v>
      </c>
      <c r="F65" s="4">
        <v>72</v>
      </c>
      <c r="G65" s="5">
        <v>5.38</v>
      </c>
      <c r="H65" s="4">
        <v>0</v>
      </c>
    </row>
    <row r="66" spans="1:8" x14ac:dyDescent="0.2">
      <c r="A66" s="1" t="s">
        <v>4</v>
      </c>
      <c r="B66" s="4">
        <v>2042</v>
      </c>
      <c r="C66" s="5">
        <v>100.01</v>
      </c>
      <c r="D66" s="4">
        <v>706</v>
      </c>
      <c r="E66" s="5">
        <v>100.00000000000001</v>
      </c>
      <c r="F66" s="4">
        <v>1336</v>
      </c>
      <c r="G66" s="5">
        <v>100.00999999999999</v>
      </c>
      <c r="H66" s="4">
        <v>0</v>
      </c>
    </row>
    <row r="67" spans="1:8" x14ac:dyDescent="0.2">
      <c r="A67" s="2" t="s">
        <v>61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62</v>
      </c>
      <c r="B68" s="4">
        <v>312</v>
      </c>
      <c r="C68" s="5">
        <v>15.28</v>
      </c>
      <c r="D68" s="4">
        <v>18</v>
      </c>
      <c r="E68" s="5">
        <v>2.5499999999999998</v>
      </c>
      <c r="F68" s="4">
        <v>294</v>
      </c>
      <c r="G68" s="5">
        <v>22.01</v>
      </c>
      <c r="H68" s="4">
        <v>0</v>
      </c>
    </row>
    <row r="69" spans="1:8" x14ac:dyDescent="0.2">
      <c r="A69" s="2" t="s">
        <v>63</v>
      </c>
      <c r="B69" s="4">
        <v>96</v>
      </c>
      <c r="C69" s="5">
        <v>4.7</v>
      </c>
      <c r="D69" s="4">
        <v>12</v>
      </c>
      <c r="E69" s="5">
        <v>1.7</v>
      </c>
      <c r="F69" s="4">
        <v>84</v>
      </c>
      <c r="G69" s="5">
        <v>6.29</v>
      </c>
      <c r="H69" s="4">
        <v>0</v>
      </c>
    </row>
    <row r="70" spans="1:8" x14ac:dyDescent="0.2">
      <c r="A70" s="2" t="s">
        <v>64</v>
      </c>
      <c r="B70" s="4">
        <v>3</v>
      </c>
      <c r="C70" s="5">
        <v>0.15</v>
      </c>
      <c r="D70" s="4">
        <v>0</v>
      </c>
      <c r="E70" s="5">
        <v>0</v>
      </c>
      <c r="F70" s="4">
        <v>3</v>
      </c>
      <c r="G70" s="5">
        <v>0.22</v>
      </c>
      <c r="H70" s="4">
        <v>0</v>
      </c>
    </row>
    <row r="71" spans="1:8" x14ac:dyDescent="0.2">
      <c r="A71" s="2" t="s">
        <v>65</v>
      </c>
      <c r="B71" s="4">
        <v>29</v>
      </c>
      <c r="C71" s="5">
        <v>1.42</v>
      </c>
      <c r="D71" s="4">
        <v>1</v>
      </c>
      <c r="E71" s="5">
        <v>0.14000000000000001</v>
      </c>
      <c r="F71" s="4">
        <v>28</v>
      </c>
      <c r="G71" s="5">
        <v>2.1</v>
      </c>
      <c r="H71" s="4">
        <v>0</v>
      </c>
    </row>
    <row r="72" spans="1:8" x14ac:dyDescent="0.2">
      <c r="A72" s="2" t="s">
        <v>66</v>
      </c>
      <c r="B72" s="4">
        <v>28</v>
      </c>
      <c r="C72" s="5">
        <v>1.37</v>
      </c>
      <c r="D72" s="4">
        <v>4</v>
      </c>
      <c r="E72" s="5">
        <v>0.56999999999999995</v>
      </c>
      <c r="F72" s="4">
        <v>24</v>
      </c>
      <c r="G72" s="5">
        <v>1.8</v>
      </c>
      <c r="H72" s="4">
        <v>0</v>
      </c>
    </row>
    <row r="73" spans="1:8" x14ac:dyDescent="0.2">
      <c r="A73" s="2" t="s">
        <v>67</v>
      </c>
      <c r="B73" s="4">
        <v>408</v>
      </c>
      <c r="C73" s="5">
        <v>19.98</v>
      </c>
      <c r="D73" s="4">
        <v>108</v>
      </c>
      <c r="E73" s="5">
        <v>15.3</v>
      </c>
      <c r="F73" s="4">
        <v>300</v>
      </c>
      <c r="G73" s="5">
        <v>22.46</v>
      </c>
      <c r="H73" s="4">
        <v>0</v>
      </c>
    </row>
    <row r="74" spans="1:8" x14ac:dyDescent="0.2">
      <c r="A74" s="2" t="s">
        <v>68</v>
      </c>
      <c r="B74" s="4">
        <v>10</v>
      </c>
      <c r="C74" s="5">
        <v>0.49</v>
      </c>
      <c r="D74" s="4">
        <v>1</v>
      </c>
      <c r="E74" s="5">
        <v>0.14000000000000001</v>
      </c>
      <c r="F74" s="4">
        <v>9</v>
      </c>
      <c r="G74" s="5">
        <v>0.67</v>
      </c>
      <c r="H74" s="4">
        <v>0</v>
      </c>
    </row>
    <row r="75" spans="1:8" x14ac:dyDescent="0.2">
      <c r="A75" s="2" t="s">
        <v>69</v>
      </c>
      <c r="B75" s="4">
        <v>316</v>
      </c>
      <c r="C75" s="5">
        <v>15.48</v>
      </c>
      <c r="D75" s="4">
        <v>100</v>
      </c>
      <c r="E75" s="5">
        <v>14.16</v>
      </c>
      <c r="F75" s="4">
        <v>216</v>
      </c>
      <c r="G75" s="5">
        <v>16.170000000000002</v>
      </c>
      <c r="H75" s="4">
        <v>0</v>
      </c>
    </row>
    <row r="76" spans="1:8" x14ac:dyDescent="0.2">
      <c r="A76" s="2" t="s">
        <v>70</v>
      </c>
      <c r="B76" s="4">
        <v>137</v>
      </c>
      <c r="C76" s="5">
        <v>6.71</v>
      </c>
      <c r="D76" s="4">
        <v>37</v>
      </c>
      <c r="E76" s="5">
        <v>5.24</v>
      </c>
      <c r="F76" s="4">
        <v>100</v>
      </c>
      <c r="G76" s="5">
        <v>7.49</v>
      </c>
      <c r="H76" s="4">
        <v>0</v>
      </c>
    </row>
    <row r="77" spans="1:8" x14ac:dyDescent="0.2">
      <c r="A77" s="2" t="s">
        <v>71</v>
      </c>
      <c r="B77" s="4">
        <v>171</v>
      </c>
      <c r="C77" s="5">
        <v>8.3699999999999992</v>
      </c>
      <c r="D77" s="4">
        <v>115</v>
      </c>
      <c r="E77" s="5">
        <v>16.29</v>
      </c>
      <c r="F77" s="4">
        <v>56</v>
      </c>
      <c r="G77" s="5">
        <v>4.1900000000000004</v>
      </c>
      <c r="H77" s="4">
        <v>0</v>
      </c>
    </row>
    <row r="78" spans="1:8" x14ac:dyDescent="0.2">
      <c r="A78" s="2" t="s">
        <v>72</v>
      </c>
      <c r="B78" s="4">
        <v>246</v>
      </c>
      <c r="C78" s="5">
        <v>12.05</v>
      </c>
      <c r="D78" s="4">
        <v>166</v>
      </c>
      <c r="E78" s="5">
        <v>23.51</v>
      </c>
      <c r="F78" s="4">
        <v>80</v>
      </c>
      <c r="G78" s="5">
        <v>5.99</v>
      </c>
      <c r="H78" s="4">
        <v>0</v>
      </c>
    </row>
    <row r="79" spans="1:8" x14ac:dyDescent="0.2">
      <c r="A79" s="2" t="s">
        <v>73</v>
      </c>
      <c r="B79" s="4">
        <v>70</v>
      </c>
      <c r="C79" s="5">
        <v>3.43</v>
      </c>
      <c r="D79" s="4">
        <v>41</v>
      </c>
      <c r="E79" s="5">
        <v>5.81</v>
      </c>
      <c r="F79" s="4">
        <v>29</v>
      </c>
      <c r="G79" s="5">
        <v>2.17</v>
      </c>
      <c r="H79" s="4">
        <v>0</v>
      </c>
    </row>
    <row r="80" spans="1:8" x14ac:dyDescent="0.2">
      <c r="A80" s="2" t="s">
        <v>74</v>
      </c>
      <c r="B80" s="4">
        <v>139</v>
      </c>
      <c r="C80" s="5">
        <v>6.81</v>
      </c>
      <c r="D80" s="4">
        <v>93</v>
      </c>
      <c r="E80" s="5">
        <v>13.17</v>
      </c>
      <c r="F80" s="4">
        <v>46</v>
      </c>
      <c r="G80" s="5">
        <v>3.44</v>
      </c>
      <c r="H80" s="4">
        <v>0</v>
      </c>
    </row>
    <row r="81" spans="1:8" x14ac:dyDescent="0.2">
      <c r="A81" s="2" t="s">
        <v>75</v>
      </c>
      <c r="B81" s="4">
        <v>77</v>
      </c>
      <c r="C81" s="5">
        <v>3.77</v>
      </c>
      <c r="D81" s="4">
        <v>10</v>
      </c>
      <c r="E81" s="5">
        <v>1.42</v>
      </c>
      <c r="F81" s="4">
        <v>67</v>
      </c>
      <c r="G81" s="5">
        <v>5.01</v>
      </c>
      <c r="H81" s="4">
        <v>0</v>
      </c>
    </row>
    <row r="82" spans="1:8" x14ac:dyDescent="0.2">
      <c r="A82" s="1" t="s">
        <v>5</v>
      </c>
      <c r="B82" s="4">
        <v>2169</v>
      </c>
      <c r="C82" s="5">
        <v>99.99</v>
      </c>
      <c r="D82" s="4">
        <v>681</v>
      </c>
      <c r="E82" s="5">
        <v>100.01</v>
      </c>
      <c r="F82" s="4">
        <v>1485</v>
      </c>
      <c r="G82" s="5">
        <v>99.990000000000038</v>
      </c>
      <c r="H82" s="4">
        <v>2</v>
      </c>
    </row>
    <row r="83" spans="1:8" x14ac:dyDescent="0.2">
      <c r="A83" s="2" t="s">
        <v>61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62</v>
      </c>
      <c r="B84" s="4">
        <v>519</v>
      </c>
      <c r="C84" s="5">
        <v>23.93</v>
      </c>
      <c r="D84" s="4">
        <v>38</v>
      </c>
      <c r="E84" s="5">
        <v>5.58</v>
      </c>
      <c r="F84" s="4">
        <v>481</v>
      </c>
      <c r="G84" s="5">
        <v>32.39</v>
      </c>
      <c r="H84" s="4">
        <v>0</v>
      </c>
    </row>
    <row r="85" spans="1:8" x14ac:dyDescent="0.2">
      <c r="A85" s="2" t="s">
        <v>63</v>
      </c>
      <c r="B85" s="4">
        <v>128</v>
      </c>
      <c r="C85" s="5">
        <v>5.9</v>
      </c>
      <c r="D85" s="4">
        <v>19</v>
      </c>
      <c r="E85" s="5">
        <v>2.79</v>
      </c>
      <c r="F85" s="4">
        <v>109</v>
      </c>
      <c r="G85" s="5">
        <v>7.34</v>
      </c>
      <c r="H85" s="4">
        <v>0</v>
      </c>
    </row>
    <row r="86" spans="1:8" x14ac:dyDescent="0.2">
      <c r="A86" s="2" t="s">
        <v>64</v>
      </c>
      <c r="B86" s="4">
        <v>2</v>
      </c>
      <c r="C86" s="5">
        <v>0.09</v>
      </c>
      <c r="D86" s="4">
        <v>0</v>
      </c>
      <c r="E86" s="5">
        <v>0</v>
      </c>
      <c r="F86" s="4">
        <v>2</v>
      </c>
      <c r="G86" s="5">
        <v>0.13</v>
      </c>
      <c r="H86" s="4">
        <v>0</v>
      </c>
    </row>
    <row r="87" spans="1:8" x14ac:dyDescent="0.2">
      <c r="A87" s="2" t="s">
        <v>65</v>
      </c>
      <c r="B87" s="4">
        <v>27</v>
      </c>
      <c r="C87" s="5">
        <v>1.24</v>
      </c>
      <c r="D87" s="4">
        <v>0</v>
      </c>
      <c r="E87" s="5">
        <v>0</v>
      </c>
      <c r="F87" s="4">
        <v>27</v>
      </c>
      <c r="G87" s="5">
        <v>1.82</v>
      </c>
      <c r="H87" s="4">
        <v>0</v>
      </c>
    </row>
    <row r="88" spans="1:8" x14ac:dyDescent="0.2">
      <c r="A88" s="2" t="s">
        <v>66</v>
      </c>
      <c r="B88" s="4">
        <v>35</v>
      </c>
      <c r="C88" s="5">
        <v>1.61</v>
      </c>
      <c r="D88" s="4">
        <v>7</v>
      </c>
      <c r="E88" s="5">
        <v>1.03</v>
      </c>
      <c r="F88" s="4">
        <v>27</v>
      </c>
      <c r="G88" s="5">
        <v>1.82</v>
      </c>
      <c r="H88" s="4">
        <v>1</v>
      </c>
    </row>
    <row r="89" spans="1:8" x14ac:dyDescent="0.2">
      <c r="A89" s="2" t="s">
        <v>67</v>
      </c>
      <c r="B89" s="4">
        <v>424</v>
      </c>
      <c r="C89" s="5">
        <v>19.55</v>
      </c>
      <c r="D89" s="4">
        <v>114</v>
      </c>
      <c r="E89" s="5">
        <v>16.739999999999998</v>
      </c>
      <c r="F89" s="4">
        <v>310</v>
      </c>
      <c r="G89" s="5">
        <v>20.88</v>
      </c>
      <c r="H89" s="4">
        <v>0</v>
      </c>
    </row>
    <row r="90" spans="1:8" x14ac:dyDescent="0.2">
      <c r="A90" s="2" t="s">
        <v>68</v>
      </c>
      <c r="B90" s="4">
        <v>16</v>
      </c>
      <c r="C90" s="5">
        <v>0.74</v>
      </c>
      <c r="D90" s="4">
        <v>1</v>
      </c>
      <c r="E90" s="5">
        <v>0.15</v>
      </c>
      <c r="F90" s="4">
        <v>15</v>
      </c>
      <c r="G90" s="5">
        <v>1.01</v>
      </c>
      <c r="H90" s="4">
        <v>0</v>
      </c>
    </row>
    <row r="91" spans="1:8" x14ac:dyDescent="0.2">
      <c r="A91" s="2" t="s">
        <v>69</v>
      </c>
      <c r="B91" s="4">
        <v>187</v>
      </c>
      <c r="C91" s="5">
        <v>8.6199999999999992</v>
      </c>
      <c r="D91" s="4">
        <v>8</v>
      </c>
      <c r="E91" s="5">
        <v>1.17</v>
      </c>
      <c r="F91" s="4">
        <v>179</v>
      </c>
      <c r="G91" s="5">
        <v>12.05</v>
      </c>
      <c r="H91" s="4">
        <v>0</v>
      </c>
    </row>
    <row r="92" spans="1:8" x14ac:dyDescent="0.2">
      <c r="A92" s="2" t="s">
        <v>70</v>
      </c>
      <c r="B92" s="4">
        <v>94</v>
      </c>
      <c r="C92" s="5">
        <v>4.33</v>
      </c>
      <c r="D92" s="4">
        <v>30</v>
      </c>
      <c r="E92" s="5">
        <v>4.41</v>
      </c>
      <c r="F92" s="4">
        <v>64</v>
      </c>
      <c r="G92" s="5">
        <v>4.3099999999999996</v>
      </c>
      <c r="H92" s="4">
        <v>0</v>
      </c>
    </row>
    <row r="93" spans="1:8" x14ac:dyDescent="0.2">
      <c r="A93" s="2" t="s">
        <v>71</v>
      </c>
      <c r="B93" s="4">
        <v>179</v>
      </c>
      <c r="C93" s="5">
        <v>8.25</v>
      </c>
      <c r="D93" s="4">
        <v>128</v>
      </c>
      <c r="E93" s="5">
        <v>18.8</v>
      </c>
      <c r="F93" s="4">
        <v>51</v>
      </c>
      <c r="G93" s="5">
        <v>3.43</v>
      </c>
      <c r="H93" s="4">
        <v>0</v>
      </c>
    </row>
    <row r="94" spans="1:8" x14ac:dyDescent="0.2">
      <c r="A94" s="2" t="s">
        <v>72</v>
      </c>
      <c r="B94" s="4">
        <v>285</v>
      </c>
      <c r="C94" s="5">
        <v>13.14</v>
      </c>
      <c r="D94" s="4">
        <v>211</v>
      </c>
      <c r="E94" s="5">
        <v>30.98</v>
      </c>
      <c r="F94" s="4">
        <v>74</v>
      </c>
      <c r="G94" s="5">
        <v>4.9800000000000004</v>
      </c>
      <c r="H94" s="4">
        <v>0</v>
      </c>
    </row>
    <row r="95" spans="1:8" x14ac:dyDescent="0.2">
      <c r="A95" s="2" t="s">
        <v>73</v>
      </c>
      <c r="B95" s="4">
        <v>47</v>
      </c>
      <c r="C95" s="5">
        <v>2.17</v>
      </c>
      <c r="D95" s="4">
        <v>25</v>
      </c>
      <c r="E95" s="5">
        <v>3.67</v>
      </c>
      <c r="F95" s="4">
        <v>22</v>
      </c>
      <c r="G95" s="5">
        <v>1.48</v>
      </c>
      <c r="H95" s="4">
        <v>0</v>
      </c>
    </row>
    <row r="96" spans="1:8" x14ac:dyDescent="0.2">
      <c r="A96" s="2" t="s">
        <v>74</v>
      </c>
      <c r="B96" s="4">
        <v>114</v>
      </c>
      <c r="C96" s="5">
        <v>5.26</v>
      </c>
      <c r="D96" s="4">
        <v>71</v>
      </c>
      <c r="E96" s="5">
        <v>10.43</v>
      </c>
      <c r="F96" s="4">
        <v>43</v>
      </c>
      <c r="G96" s="5">
        <v>2.9</v>
      </c>
      <c r="H96" s="4">
        <v>0</v>
      </c>
    </row>
    <row r="97" spans="1:8" x14ac:dyDescent="0.2">
      <c r="A97" s="2" t="s">
        <v>75</v>
      </c>
      <c r="B97" s="4">
        <v>112</v>
      </c>
      <c r="C97" s="5">
        <v>5.16</v>
      </c>
      <c r="D97" s="4">
        <v>29</v>
      </c>
      <c r="E97" s="5">
        <v>4.26</v>
      </c>
      <c r="F97" s="4">
        <v>81</v>
      </c>
      <c r="G97" s="5">
        <v>5.45</v>
      </c>
      <c r="H97" s="4">
        <v>1</v>
      </c>
    </row>
    <row r="98" spans="1:8" x14ac:dyDescent="0.2">
      <c r="A98" s="1" t="s">
        <v>6</v>
      </c>
      <c r="B98" s="4">
        <v>1184</v>
      </c>
      <c r="C98" s="5">
        <v>99.99</v>
      </c>
      <c r="D98" s="4">
        <v>423</v>
      </c>
      <c r="E98" s="5">
        <v>99.999999999999986</v>
      </c>
      <c r="F98" s="4">
        <v>759</v>
      </c>
      <c r="G98" s="5">
        <v>99.990000000000009</v>
      </c>
      <c r="H98" s="4">
        <v>1</v>
      </c>
    </row>
    <row r="99" spans="1:8" x14ac:dyDescent="0.2">
      <c r="A99" s="2" t="s">
        <v>61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62</v>
      </c>
      <c r="B100" s="4">
        <v>190</v>
      </c>
      <c r="C100" s="5">
        <v>16.05</v>
      </c>
      <c r="D100" s="4">
        <v>17</v>
      </c>
      <c r="E100" s="5">
        <v>4.0199999999999996</v>
      </c>
      <c r="F100" s="4">
        <v>173</v>
      </c>
      <c r="G100" s="5">
        <v>22.79</v>
      </c>
      <c r="H100" s="4">
        <v>0</v>
      </c>
    </row>
    <row r="101" spans="1:8" x14ac:dyDescent="0.2">
      <c r="A101" s="2" t="s">
        <v>63</v>
      </c>
      <c r="B101" s="4">
        <v>47</v>
      </c>
      <c r="C101" s="5">
        <v>3.97</v>
      </c>
      <c r="D101" s="4">
        <v>6</v>
      </c>
      <c r="E101" s="5">
        <v>1.42</v>
      </c>
      <c r="F101" s="4">
        <v>41</v>
      </c>
      <c r="G101" s="5">
        <v>5.4</v>
      </c>
      <c r="H101" s="4">
        <v>0</v>
      </c>
    </row>
    <row r="102" spans="1:8" x14ac:dyDescent="0.2">
      <c r="A102" s="2" t="s">
        <v>64</v>
      </c>
      <c r="B102" s="4">
        <v>4</v>
      </c>
      <c r="C102" s="5">
        <v>0.34</v>
      </c>
      <c r="D102" s="4">
        <v>0</v>
      </c>
      <c r="E102" s="5">
        <v>0</v>
      </c>
      <c r="F102" s="4">
        <v>4</v>
      </c>
      <c r="G102" s="5">
        <v>0.53</v>
      </c>
      <c r="H102" s="4">
        <v>0</v>
      </c>
    </row>
    <row r="103" spans="1:8" x14ac:dyDescent="0.2">
      <c r="A103" s="2" t="s">
        <v>65</v>
      </c>
      <c r="B103" s="4">
        <v>19</v>
      </c>
      <c r="C103" s="5">
        <v>1.6</v>
      </c>
      <c r="D103" s="4">
        <v>0</v>
      </c>
      <c r="E103" s="5">
        <v>0</v>
      </c>
      <c r="F103" s="4">
        <v>19</v>
      </c>
      <c r="G103" s="5">
        <v>2.5</v>
      </c>
      <c r="H103" s="4">
        <v>0</v>
      </c>
    </row>
    <row r="104" spans="1:8" x14ac:dyDescent="0.2">
      <c r="A104" s="2" t="s">
        <v>66</v>
      </c>
      <c r="B104" s="4">
        <v>12</v>
      </c>
      <c r="C104" s="5">
        <v>1.01</v>
      </c>
      <c r="D104" s="4">
        <v>3</v>
      </c>
      <c r="E104" s="5">
        <v>0.71</v>
      </c>
      <c r="F104" s="4">
        <v>9</v>
      </c>
      <c r="G104" s="5">
        <v>1.19</v>
      </c>
      <c r="H104" s="4">
        <v>0</v>
      </c>
    </row>
    <row r="105" spans="1:8" x14ac:dyDescent="0.2">
      <c r="A105" s="2" t="s">
        <v>67</v>
      </c>
      <c r="B105" s="4">
        <v>203</v>
      </c>
      <c r="C105" s="5">
        <v>17.149999999999999</v>
      </c>
      <c r="D105" s="4">
        <v>53</v>
      </c>
      <c r="E105" s="5">
        <v>12.53</v>
      </c>
      <c r="F105" s="4">
        <v>150</v>
      </c>
      <c r="G105" s="5">
        <v>19.760000000000002</v>
      </c>
      <c r="H105" s="4">
        <v>0</v>
      </c>
    </row>
    <row r="106" spans="1:8" x14ac:dyDescent="0.2">
      <c r="A106" s="2" t="s">
        <v>68</v>
      </c>
      <c r="B106" s="4">
        <v>8</v>
      </c>
      <c r="C106" s="5">
        <v>0.68</v>
      </c>
      <c r="D106" s="4">
        <v>2</v>
      </c>
      <c r="E106" s="5">
        <v>0.47</v>
      </c>
      <c r="F106" s="4">
        <v>6</v>
      </c>
      <c r="G106" s="5">
        <v>0.79</v>
      </c>
      <c r="H106" s="4">
        <v>0</v>
      </c>
    </row>
    <row r="107" spans="1:8" x14ac:dyDescent="0.2">
      <c r="A107" s="2" t="s">
        <v>69</v>
      </c>
      <c r="B107" s="4">
        <v>102</v>
      </c>
      <c r="C107" s="5">
        <v>8.61</v>
      </c>
      <c r="D107" s="4">
        <v>7</v>
      </c>
      <c r="E107" s="5">
        <v>1.65</v>
      </c>
      <c r="F107" s="4">
        <v>95</v>
      </c>
      <c r="G107" s="5">
        <v>12.52</v>
      </c>
      <c r="H107" s="4">
        <v>0</v>
      </c>
    </row>
    <row r="108" spans="1:8" x14ac:dyDescent="0.2">
      <c r="A108" s="2" t="s">
        <v>70</v>
      </c>
      <c r="B108" s="4">
        <v>74</v>
      </c>
      <c r="C108" s="5">
        <v>6.25</v>
      </c>
      <c r="D108" s="4">
        <v>22</v>
      </c>
      <c r="E108" s="5">
        <v>5.2</v>
      </c>
      <c r="F108" s="4">
        <v>52</v>
      </c>
      <c r="G108" s="5">
        <v>6.85</v>
      </c>
      <c r="H108" s="4">
        <v>0</v>
      </c>
    </row>
    <row r="109" spans="1:8" x14ac:dyDescent="0.2">
      <c r="A109" s="2" t="s">
        <v>71</v>
      </c>
      <c r="B109" s="4">
        <v>84</v>
      </c>
      <c r="C109" s="5">
        <v>7.09</v>
      </c>
      <c r="D109" s="4">
        <v>53</v>
      </c>
      <c r="E109" s="5">
        <v>12.53</v>
      </c>
      <c r="F109" s="4">
        <v>31</v>
      </c>
      <c r="G109" s="5">
        <v>4.08</v>
      </c>
      <c r="H109" s="4">
        <v>0</v>
      </c>
    </row>
    <row r="110" spans="1:8" x14ac:dyDescent="0.2">
      <c r="A110" s="2" t="s">
        <v>72</v>
      </c>
      <c r="B110" s="4">
        <v>216</v>
      </c>
      <c r="C110" s="5">
        <v>18.239999999999998</v>
      </c>
      <c r="D110" s="4">
        <v>148</v>
      </c>
      <c r="E110" s="5">
        <v>34.99</v>
      </c>
      <c r="F110" s="4">
        <v>68</v>
      </c>
      <c r="G110" s="5">
        <v>8.9600000000000009</v>
      </c>
      <c r="H110" s="4">
        <v>0</v>
      </c>
    </row>
    <row r="111" spans="1:8" x14ac:dyDescent="0.2">
      <c r="A111" s="2" t="s">
        <v>73</v>
      </c>
      <c r="B111" s="4">
        <v>86</v>
      </c>
      <c r="C111" s="5">
        <v>7.26</v>
      </c>
      <c r="D111" s="4">
        <v>48</v>
      </c>
      <c r="E111" s="5">
        <v>11.35</v>
      </c>
      <c r="F111" s="4">
        <v>37</v>
      </c>
      <c r="G111" s="5">
        <v>4.87</v>
      </c>
      <c r="H111" s="4">
        <v>0</v>
      </c>
    </row>
    <row r="112" spans="1:8" x14ac:dyDescent="0.2">
      <c r="A112" s="2" t="s">
        <v>74</v>
      </c>
      <c r="B112" s="4">
        <v>92</v>
      </c>
      <c r="C112" s="5">
        <v>7.77</v>
      </c>
      <c r="D112" s="4">
        <v>53</v>
      </c>
      <c r="E112" s="5">
        <v>12.53</v>
      </c>
      <c r="F112" s="4">
        <v>39</v>
      </c>
      <c r="G112" s="5">
        <v>5.14</v>
      </c>
      <c r="H112" s="4">
        <v>0</v>
      </c>
    </row>
    <row r="113" spans="1:8" x14ac:dyDescent="0.2">
      <c r="A113" s="2" t="s">
        <v>75</v>
      </c>
      <c r="B113" s="4">
        <v>47</v>
      </c>
      <c r="C113" s="5">
        <v>3.97</v>
      </c>
      <c r="D113" s="4">
        <v>11</v>
      </c>
      <c r="E113" s="5">
        <v>2.6</v>
      </c>
      <c r="F113" s="4">
        <v>35</v>
      </c>
      <c r="G113" s="5">
        <v>4.6100000000000003</v>
      </c>
      <c r="H113" s="4">
        <v>1</v>
      </c>
    </row>
    <row r="114" spans="1:8" x14ac:dyDescent="0.2">
      <c r="A114" s="1" t="s">
        <v>7</v>
      </c>
      <c r="B114" s="4">
        <v>1122</v>
      </c>
      <c r="C114" s="5">
        <v>100</v>
      </c>
      <c r="D114" s="4">
        <v>181</v>
      </c>
      <c r="E114" s="5">
        <v>99.989999999999981</v>
      </c>
      <c r="F114" s="4">
        <v>938</v>
      </c>
      <c r="G114" s="5">
        <v>100.02</v>
      </c>
      <c r="H114" s="4">
        <v>3</v>
      </c>
    </row>
    <row r="115" spans="1:8" x14ac:dyDescent="0.2">
      <c r="A115" s="2" t="s">
        <v>61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62</v>
      </c>
      <c r="B116" s="4">
        <v>92</v>
      </c>
      <c r="C116" s="5">
        <v>8.1999999999999993</v>
      </c>
      <c r="D116" s="4">
        <v>5</v>
      </c>
      <c r="E116" s="5">
        <v>2.76</v>
      </c>
      <c r="F116" s="4">
        <v>87</v>
      </c>
      <c r="G116" s="5">
        <v>9.2799999999999994</v>
      </c>
      <c r="H116" s="4">
        <v>0</v>
      </c>
    </row>
    <row r="117" spans="1:8" x14ac:dyDescent="0.2">
      <c r="A117" s="2" t="s">
        <v>63</v>
      </c>
      <c r="B117" s="4">
        <v>42</v>
      </c>
      <c r="C117" s="5">
        <v>3.74</v>
      </c>
      <c r="D117" s="4">
        <v>0</v>
      </c>
      <c r="E117" s="5">
        <v>0</v>
      </c>
      <c r="F117" s="4">
        <v>42</v>
      </c>
      <c r="G117" s="5">
        <v>4.4800000000000004</v>
      </c>
      <c r="H117" s="4">
        <v>0</v>
      </c>
    </row>
    <row r="118" spans="1:8" x14ac:dyDescent="0.2">
      <c r="A118" s="2" t="s">
        <v>64</v>
      </c>
      <c r="B118" s="4">
        <v>2</v>
      </c>
      <c r="C118" s="5">
        <v>0.18</v>
      </c>
      <c r="D118" s="4">
        <v>0</v>
      </c>
      <c r="E118" s="5">
        <v>0</v>
      </c>
      <c r="F118" s="4">
        <v>2</v>
      </c>
      <c r="G118" s="5">
        <v>0.21</v>
      </c>
      <c r="H118" s="4">
        <v>0</v>
      </c>
    </row>
    <row r="119" spans="1:8" x14ac:dyDescent="0.2">
      <c r="A119" s="2" t="s">
        <v>65</v>
      </c>
      <c r="B119" s="4">
        <v>41</v>
      </c>
      <c r="C119" s="5">
        <v>3.65</v>
      </c>
      <c r="D119" s="4">
        <v>1</v>
      </c>
      <c r="E119" s="5">
        <v>0.55000000000000004</v>
      </c>
      <c r="F119" s="4">
        <v>40</v>
      </c>
      <c r="G119" s="5">
        <v>4.26</v>
      </c>
      <c r="H119" s="4">
        <v>0</v>
      </c>
    </row>
    <row r="120" spans="1:8" x14ac:dyDescent="0.2">
      <c r="A120" s="2" t="s">
        <v>66</v>
      </c>
      <c r="B120" s="4">
        <v>26</v>
      </c>
      <c r="C120" s="5">
        <v>2.3199999999999998</v>
      </c>
      <c r="D120" s="4">
        <v>1</v>
      </c>
      <c r="E120" s="5">
        <v>0.55000000000000004</v>
      </c>
      <c r="F120" s="4">
        <v>25</v>
      </c>
      <c r="G120" s="5">
        <v>2.67</v>
      </c>
      <c r="H120" s="4">
        <v>0</v>
      </c>
    </row>
    <row r="121" spans="1:8" x14ac:dyDescent="0.2">
      <c r="A121" s="2" t="s">
        <v>67</v>
      </c>
      <c r="B121" s="4">
        <v>336</v>
      </c>
      <c r="C121" s="5">
        <v>29.95</v>
      </c>
      <c r="D121" s="4">
        <v>30</v>
      </c>
      <c r="E121" s="5">
        <v>16.57</v>
      </c>
      <c r="F121" s="4">
        <v>306</v>
      </c>
      <c r="G121" s="5">
        <v>32.619999999999997</v>
      </c>
      <c r="H121" s="4">
        <v>0</v>
      </c>
    </row>
    <row r="122" spans="1:8" x14ac:dyDescent="0.2">
      <c r="A122" s="2" t="s">
        <v>68</v>
      </c>
      <c r="B122" s="4">
        <v>13</v>
      </c>
      <c r="C122" s="5">
        <v>1.1599999999999999</v>
      </c>
      <c r="D122" s="4">
        <v>0</v>
      </c>
      <c r="E122" s="5">
        <v>0</v>
      </c>
      <c r="F122" s="4">
        <v>13</v>
      </c>
      <c r="G122" s="5">
        <v>1.39</v>
      </c>
      <c r="H122" s="4">
        <v>0</v>
      </c>
    </row>
    <row r="123" spans="1:8" x14ac:dyDescent="0.2">
      <c r="A123" s="2" t="s">
        <v>69</v>
      </c>
      <c r="B123" s="4">
        <v>87</v>
      </c>
      <c r="C123" s="5">
        <v>7.75</v>
      </c>
      <c r="D123" s="4">
        <v>0</v>
      </c>
      <c r="E123" s="5">
        <v>0</v>
      </c>
      <c r="F123" s="4">
        <v>86</v>
      </c>
      <c r="G123" s="5">
        <v>9.17</v>
      </c>
      <c r="H123" s="4">
        <v>1</v>
      </c>
    </row>
    <row r="124" spans="1:8" x14ac:dyDescent="0.2">
      <c r="A124" s="2" t="s">
        <v>70</v>
      </c>
      <c r="B124" s="4">
        <v>103</v>
      </c>
      <c r="C124" s="5">
        <v>9.18</v>
      </c>
      <c r="D124" s="4">
        <v>18</v>
      </c>
      <c r="E124" s="5">
        <v>9.94</v>
      </c>
      <c r="F124" s="4">
        <v>84</v>
      </c>
      <c r="G124" s="5">
        <v>8.9600000000000009</v>
      </c>
      <c r="H124" s="4">
        <v>1</v>
      </c>
    </row>
    <row r="125" spans="1:8" x14ac:dyDescent="0.2">
      <c r="A125" s="2" t="s">
        <v>71</v>
      </c>
      <c r="B125" s="4">
        <v>72</v>
      </c>
      <c r="C125" s="5">
        <v>6.42</v>
      </c>
      <c r="D125" s="4">
        <v>15</v>
      </c>
      <c r="E125" s="5">
        <v>8.2899999999999991</v>
      </c>
      <c r="F125" s="4">
        <v>57</v>
      </c>
      <c r="G125" s="5">
        <v>6.08</v>
      </c>
      <c r="H125" s="4">
        <v>0</v>
      </c>
    </row>
    <row r="126" spans="1:8" x14ac:dyDescent="0.2">
      <c r="A126" s="2" t="s">
        <v>72</v>
      </c>
      <c r="B126" s="4">
        <v>134</v>
      </c>
      <c r="C126" s="5">
        <v>11.94</v>
      </c>
      <c r="D126" s="4">
        <v>63</v>
      </c>
      <c r="E126" s="5">
        <v>34.81</v>
      </c>
      <c r="F126" s="4">
        <v>71</v>
      </c>
      <c r="G126" s="5">
        <v>7.57</v>
      </c>
      <c r="H126" s="4">
        <v>0</v>
      </c>
    </row>
    <row r="127" spans="1:8" x14ac:dyDescent="0.2">
      <c r="A127" s="2" t="s">
        <v>73</v>
      </c>
      <c r="B127" s="4">
        <v>55</v>
      </c>
      <c r="C127" s="5">
        <v>4.9000000000000004</v>
      </c>
      <c r="D127" s="4">
        <v>15</v>
      </c>
      <c r="E127" s="5">
        <v>8.2899999999999991</v>
      </c>
      <c r="F127" s="4">
        <v>39</v>
      </c>
      <c r="G127" s="5">
        <v>4.16</v>
      </c>
      <c r="H127" s="4">
        <v>1</v>
      </c>
    </row>
    <row r="128" spans="1:8" x14ac:dyDescent="0.2">
      <c r="A128" s="2" t="s">
        <v>74</v>
      </c>
      <c r="B128" s="4">
        <v>58</v>
      </c>
      <c r="C128" s="5">
        <v>5.17</v>
      </c>
      <c r="D128" s="4">
        <v>31</v>
      </c>
      <c r="E128" s="5">
        <v>17.13</v>
      </c>
      <c r="F128" s="4">
        <v>27</v>
      </c>
      <c r="G128" s="5">
        <v>2.88</v>
      </c>
      <c r="H128" s="4">
        <v>0</v>
      </c>
    </row>
    <row r="129" spans="1:8" x14ac:dyDescent="0.2">
      <c r="A129" s="2" t="s">
        <v>75</v>
      </c>
      <c r="B129" s="4">
        <v>61</v>
      </c>
      <c r="C129" s="5">
        <v>5.44</v>
      </c>
      <c r="D129" s="4">
        <v>2</v>
      </c>
      <c r="E129" s="5">
        <v>1.1000000000000001</v>
      </c>
      <c r="F129" s="4">
        <v>59</v>
      </c>
      <c r="G129" s="5">
        <v>6.29</v>
      </c>
      <c r="H129" s="4">
        <v>0</v>
      </c>
    </row>
    <row r="130" spans="1:8" x14ac:dyDescent="0.2">
      <c r="A130" s="1" t="s">
        <v>8</v>
      </c>
      <c r="B130" s="4">
        <v>2039</v>
      </c>
      <c r="C130" s="5">
        <v>99.99</v>
      </c>
      <c r="D130" s="4">
        <v>1273</v>
      </c>
      <c r="E130" s="5">
        <v>99.989999999999981</v>
      </c>
      <c r="F130" s="4">
        <v>755</v>
      </c>
      <c r="G130" s="5">
        <v>99.990000000000009</v>
      </c>
      <c r="H130" s="4">
        <v>0</v>
      </c>
    </row>
    <row r="131" spans="1:8" x14ac:dyDescent="0.2">
      <c r="A131" s="2" t="s">
        <v>61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62</v>
      </c>
      <c r="B132" s="4">
        <v>253</v>
      </c>
      <c r="C132" s="5">
        <v>12.41</v>
      </c>
      <c r="D132" s="4">
        <v>121</v>
      </c>
      <c r="E132" s="5">
        <v>9.51</v>
      </c>
      <c r="F132" s="4">
        <v>132</v>
      </c>
      <c r="G132" s="5">
        <v>17.48</v>
      </c>
      <c r="H132" s="4">
        <v>0</v>
      </c>
    </row>
    <row r="133" spans="1:8" x14ac:dyDescent="0.2">
      <c r="A133" s="2" t="s">
        <v>63</v>
      </c>
      <c r="B133" s="4">
        <v>186</v>
      </c>
      <c r="C133" s="5">
        <v>9.1199999999999992</v>
      </c>
      <c r="D133" s="4">
        <v>74</v>
      </c>
      <c r="E133" s="5">
        <v>5.81</v>
      </c>
      <c r="F133" s="4">
        <v>112</v>
      </c>
      <c r="G133" s="5">
        <v>14.83</v>
      </c>
      <c r="H133" s="4">
        <v>0</v>
      </c>
    </row>
    <row r="134" spans="1:8" x14ac:dyDescent="0.2">
      <c r="A134" s="2" t="s">
        <v>64</v>
      </c>
      <c r="B134" s="4">
        <v>9</v>
      </c>
      <c r="C134" s="5">
        <v>0.44</v>
      </c>
      <c r="D134" s="4">
        <v>0</v>
      </c>
      <c r="E134" s="5">
        <v>0</v>
      </c>
      <c r="F134" s="4">
        <v>7</v>
      </c>
      <c r="G134" s="5">
        <v>0.93</v>
      </c>
      <c r="H134" s="4">
        <v>0</v>
      </c>
    </row>
    <row r="135" spans="1:8" x14ac:dyDescent="0.2">
      <c r="A135" s="2" t="s">
        <v>65</v>
      </c>
      <c r="B135" s="4">
        <v>10</v>
      </c>
      <c r="C135" s="5">
        <v>0.49</v>
      </c>
      <c r="D135" s="4">
        <v>0</v>
      </c>
      <c r="E135" s="5">
        <v>0</v>
      </c>
      <c r="F135" s="4">
        <v>10</v>
      </c>
      <c r="G135" s="5">
        <v>1.32</v>
      </c>
      <c r="H135" s="4">
        <v>0</v>
      </c>
    </row>
    <row r="136" spans="1:8" x14ac:dyDescent="0.2">
      <c r="A136" s="2" t="s">
        <v>66</v>
      </c>
      <c r="B136" s="4">
        <v>18</v>
      </c>
      <c r="C136" s="5">
        <v>0.88</v>
      </c>
      <c r="D136" s="4">
        <v>7</v>
      </c>
      <c r="E136" s="5">
        <v>0.55000000000000004</v>
      </c>
      <c r="F136" s="4">
        <v>11</v>
      </c>
      <c r="G136" s="5">
        <v>1.46</v>
      </c>
      <c r="H136" s="4">
        <v>0</v>
      </c>
    </row>
    <row r="137" spans="1:8" x14ac:dyDescent="0.2">
      <c r="A137" s="2" t="s">
        <v>67</v>
      </c>
      <c r="B137" s="4">
        <v>624</v>
      </c>
      <c r="C137" s="5">
        <v>30.6</v>
      </c>
      <c r="D137" s="4">
        <v>353</v>
      </c>
      <c r="E137" s="5">
        <v>27.73</v>
      </c>
      <c r="F137" s="4">
        <v>271</v>
      </c>
      <c r="G137" s="5">
        <v>35.89</v>
      </c>
      <c r="H137" s="4">
        <v>0</v>
      </c>
    </row>
    <row r="138" spans="1:8" x14ac:dyDescent="0.2">
      <c r="A138" s="2" t="s">
        <v>68</v>
      </c>
      <c r="B138" s="4">
        <v>17</v>
      </c>
      <c r="C138" s="5">
        <v>0.83</v>
      </c>
      <c r="D138" s="4">
        <v>4</v>
      </c>
      <c r="E138" s="5">
        <v>0.31</v>
      </c>
      <c r="F138" s="4">
        <v>13</v>
      </c>
      <c r="G138" s="5">
        <v>1.72</v>
      </c>
      <c r="H138" s="4">
        <v>0</v>
      </c>
    </row>
    <row r="139" spans="1:8" x14ac:dyDescent="0.2">
      <c r="A139" s="2" t="s">
        <v>69</v>
      </c>
      <c r="B139" s="4">
        <v>132</v>
      </c>
      <c r="C139" s="5">
        <v>6.47</v>
      </c>
      <c r="D139" s="4">
        <v>74</v>
      </c>
      <c r="E139" s="5">
        <v>5.81</v>
      </c>
      <c r="F139" s="4">
        <v>58</v>
      </c>
      <c r="G139" s="5">
        <v>7.68</v>
      </c>
      <c r="H139" s="4">
        <v>0</v>
      </c>
    </row>
    <row r="140" spans="1:8" x14ac:dyDescent="0.2">
      <c r="A140" s="2" t="s">
        <v>70</v>
      </c>
      <c r="B140" s="4">
        <v>61</v>
      </c>
      <c r="C140" s="5">
        <v>2.99</v>
      </c>
      <c r="D140" s="4">
        <v>42</v>
      </c>
      <c r="E140" s="5">
        <v>3.3</v>
      </c>
      <c r="F140" s="4">
        <v>17</v>
      </c>
      <c r="G140" s="5">
        <v>2.25</v>
      </c>
      <c r="H140" s="4">
        <v>0</v>
      </c>
    </row>
    <row r="141" spans="1:8" x14ac:dyDescent="0.2">
      <c r="A141" s="2" t="s">
        <v>71</v>
      </c>
      <c r="B141" s="4">
        <v>261</v>
      </c>
      <c r="C141" s="5">
        <v>12.8</v>
      </c>
      <c r="D141" s="4">
        <v>225</v>
      </c>
      <c r="E141" s="5">
        <v>17.670000000000002</v>
      </c>
      <c r="F141" s="4">
        <v>35</v>
      </c>
      <c r="G141" s="5">
        <v>4.6399999999999997</v>
      </c>
      <c r="H141" s="4">
        <v>0</v>
      </c>
    </row>
    <row r="142" spans="1:8" x14ac:dyDescent="0.2">
      <c r="A142" s="2" t="s">
        <v>72</v>
      </c>
      <c r="B142" s="4">
        <v>255</v>
      </c>
      <c r="C142" s="5">
        <v>12.51</v>
      </c>
      <c r="D142" s="4">
        <v>226</v>
      </c>
      <c r="E142" s="5">
        <v>17.75</v>
      </c>
      <c r="F142" s="4">
        <v>29</v>
      </c>
      <c r="G142" s="5">
        <v>3.84</v>
      </c>
      <c r="H142" s="4">
        <v>0</v>
      </c>
    </row>
    <row r="143" spans="1:8" x14ac:dyDescent="0.2">
      <c r="A143" s="2" t="s">
        <v>73</v>
      </c>
      <c r="B143" s="4">
        <v>47</v>
      </c>
      <c r="C143" s="5">
        <v>2.31</v>
      </c>
      <c r="D143" s="4">
        <v>38</v>
      </c>
      <c r="E143" s="5">
        <v>2.99</v>
      </c>
      <c r="F143" s="4">
        <v>8</v>
      </c>
      <c r="G143" s="5">
        <v>1.06</v>
      </c>
      <c r="H143" s="4">
        <v>0</v>
      </c>
    </row>
    <row r="144" spans="1:8" x14ac:dyDescent="0.2">
      <c r="A144" s="2" t="s">
        <v>74</v>
      </c>
      <c r="B144" s="4">
        <v>90</v>
      </c>
      <c r="C144" s="5">
        <v>4.41</v>
      </c>
      <c r="D144" s="4">
        <v>60</v>
      </c>
      <c r="E144" s="5">
        <v>4.71</v>
      </c>
      <c r="F144" s="4">
        <v>28</v>
      </c>
      <c r="G144" s="5">
        <v>3.71</v>
      </c>
      <c r="H144" s="4">
        <v>0</v>
      </c>
    </row>
    <row r="145" spans="1:8" x14ac:dyDescent="0.2">
      <c r="A145" s="2" t="s">
        <v>75</v>
      </c>
      <c r="B145" s="4">
        <v>76</v>
      </c>
      <c r="C145" s="5">
        <v>3.73</v>
      </c>
      <c r="D145" s="4">
        <v>49</v>
      </c>
      <c r="E145" s="5">
        <v>3.85</v>
      </c>
      <c r="F145" s="4">
        <v>24</v>
      </c>
      <c r="G145" s="5">
        <v>3.18</v>
      </c>
      <c r="H145" s="4">
        <v>0</v>
      </c>
    </row>
    <row r="146" spans="1:8" x14ac:dyDescent="0.2">
      <c r="A146" s="1" t="s">
        <v>9</v>
      </c>
      <c r="B146" s="4">
        <v>6623</v>
      </c>
      <c r="C146" s="5">
        <v>99.989999999999981</v>
      </c>
      <c r="D146" s="4">
        <v>2484</v>
      </c>
      <c r="E146" s="5">
        <v>99.990000000000009</v>
      </c>
      <c r="F146" s="4">
        <v>4094</v>
      </c>
      <c r="G146" s="5">
        <v>100.00999999999999</v>
      </c>
      <c r="H146" s="4">
        <v>2</v>
      </c>
    </row>
    <row r="147" spans="1:8" x14ac:dyDescent="0.2">
      <c r="A147" s="2" t="s">
        <v>61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62</v>
      </c>
      <c r="B148" s="4">
        <v>840</v>
      </c>
      <c r="C148" s="5">
        <v>12.68</v>
      </c>
      <c r="D148" s="4">
        <v>92</v>
      </c>
      <c r="E148" s="5">
        <v>3.7</v>
      </c>
      <c r="F148" s="4">
        <v>748</v>
      </c>
      <c r="G148" s="5">
        <v>18.27</v>
      </c>
      <c r="H148" s="4">
        <v>0</v>
      </c>
    </row>
    <row r="149" spans="1:8" x14ac:dyDescent="0.2">
      <c r="A149" s="2" t="s">
        <v>63</v>
      </c>
      <c r="B149" s="4">
        <v>393</v>
      </c>
      <c r="C149" s="5">
        <v>5.93</v>
      </c>
      <c r="D149" s="4">
        <v>66</v>
      </c>
      <c r="E149" s="5">
        <v>2.66</v>
      </c>
      <c r="F149" s="4">
        <v>327</v>
      </c>
      <c r="G149" s="5">
        <v>7.99</v>
      </c>
      <c r="H149" s="4">
        <v>0</v>
      </c>
    </row>
    <row r="150" spans="1:8" x14ac:dyDescent="0.2">
      <c r="A150" s="2" t="s">
        <v>64</v>
      </c>
      <c r="B150" s="4">
        <v>4</v>
      </c>
      <c r="C150" s="5">
        <v>0.06</v>
      </c>
      <c r="D150" s="4">
        <v>0</v>
      </c>
      <c r="E150" s="5">
        <v>0</v>
      </c>
      <c r="F150" s="4">
        <v>4</v>
      </c>
      <c r="G150" s="5">
        <v>0.1</v>
      </c>
      <c r="H150" s="4">
        <v>0</v>
      </c>
    </row>
    <row r="151" spans="1:8" x14ac:dyDescent="0.2">
      <c r="A151" s="2" t="s">
        <v>65</v>
      </c>
      <c r="B151" s="4">
        <v>116</v>
      </c>
      <c r="C151" s="5">
        <v>1.75</v>
      </c>
      <c r="D151" s="4">
        <v>1</v>
      </c>
      <c r="E151" s="5">
        <v>0.04</v>
      </c>
      <c r="F151" s="4">
        <v>115</v>
      </c>
      <c r="G151" s="5">
        <v>2.81</v>
      </c>
      <c r="H151" s="4">
        <v>0</v>
      </c>
    </row>
    <row r="152" spans="1:8" x14ac:dyDescent="0.2">
      <c r="A152" s="2" t="s">
        <v>66</v>
      </c>
      <c r="B152" s="4">
        <v>77</v>
      </c>
      <c r="C152" s="5">
        <v>1.1599999999999999</v>
      </c>
      <c r="D152" s="4">
        <v>8</v>
      </c>
      <c r="E152" s="5">
        <v>0.32</v>
      </c>
      <c r="F152" s="4">
        <v>69</v>
      </c>
      <c r="G152" s="5">
        <v>1.69</v>
      </c>
      <c r="H152" s="4">
        <v>0</v>
      </c>
    </row>
    <row r="153" spans="1:8" x14ac:dyDescent="0.2">
      <c r="A153" s="2" t="s">
        <v>67</v>
      </c>
      <c r="B153" s="4">
        <v>1271</v>
      </c>
      <c r="C153" s="5">
        <v>19.190000000000001</v>
      </c>
      <c r="D153" s="4">
        <v>439</v>
      </c>
      <c r="E153" s="5">
        <v>17.670000000000002</v>
      </c>
      <c r="F153" s="4">
        <v>832</v>
      </c>
      <c r="G153" s="5">
        <v>20.32</v>
      </c>
      <c r="H153" s="4">
        <v>0</v>
      </c>
    </row>
    <row r="154" spans="1:8" x14ac:dyDescent="0.2">
      <c r="A154" s="2" t="s">
        <v>68</v>
      </c>
      <c r="B154" s="4">
        <v>29</v>
      </c>
      <c r="C154" s="5">
        <v>0.44</v>
      </c>
      <c r="D154" s="4">
        <v>0</v>
      </c>
      <c r="E154" s="5">
        <v>0</v>
      </c>
      <c r="F154" s="4">
        <v>29</v>
      </c>
      <c r="G154" s="5">
        <v>0.71</v>
      </c>
      <c r="H154" s="4">
        <v>0</v>
      </c>
    </row>
    <row r="155" spans="1:8" x14ac:dyDescent="0.2">
      <c r="A155" s="2" t="s">
        <v>69</v>
      </c>
      <c r="B155" s="4">
        <v>1181</v>
      </c>
      <c r="C155" s="5">
        <v>17.829999999999998</v>
      </c>
      <c r="D155" s="4">
        <v>324</v>
      </c>
      <c r="E155" s="5">
        <v>13.04</v>
      </c>
      <c r="F155" s="4">
        <v>856</v>
      </c>
      <c r="G155" s="5">
        <v>20.91</v>
      </c>
      <c r="H155" s="4">
        <v>1</v>
      </c>
    </row>
    <row r="156" spans="1:8" x14ac:dyDescent="0.2">
      <c r="A156" s="2" t="s">
        <v>70</v>
      </c>
      <c r="B156" s="4">
        <v>403</v>
      </c>
      <c r="C156" s="5">
        <v>6.08</v>
      </c>
      <c r="D156" s="4">
        <v>138</v>
      </c>
      <c r="E156" s="5">
        <v>5.56</v>
      </c>
      <c r="F156" s="4">
        <v>264</v>
      </c>
      <c r="G156" s="5">
        <v>6.45</v>
      </c>
      <c r="H156" s="4">
        <v>0</v>
      </c>
    </row>
    <row r="157" spans="1:8" x14ac:dyDescent="0.2">
      <c r="A157" s="2" t="s">
        <v>71</v>
      </c>
      <c r="B157" s="4">
        <v>616</v>
      </c>
      <c r="C157" s="5">
        <v>9.3000000000000007</v>
      </c>
      <c r="D157" s="4">
        <v>437</v>
      </c>
      <c r="E157" s="5">
        <v>17.59</v>
      </c>
      <c r="F157" s="4">
        <v>179</v>
      </c>
      <c r="G157" s="5">
        <v>4.37</v>
      </c>
      <c r="H157" s="4">
        <v>0</v>
      </c>
    </row>
    <row r="158" spans="1:8" x14ac:dyDescent="0.2">
      <c r="A158" s="2" t="s">
        <v>72</v>
      </c>
      <c r="B158" s="4">
        <v>820</v>
      </c>
      <c r="C158" s="5">
        <v>12.38</v>
      </c>
      <c r="D158" s="4">
        <v>555</v>
      </c>
      <c r="E158" s="5">
        <v>22.34</v>
      </c>
      <c r="F158" s="4">
        <v>259</v>
      </c>
      <c r="G158" s="5">
        <v>6.33</v>
      </c>
      <c r="H158" s="4">
        <v>1</v>
      </c>
    </row>
    <row r="159" spans="1:8" x14ac:dyDescent="0.2">
      <c r="A159" s="2" t="s">
        <v>73</v>
      </c>
      <c r="B159" s="4">
        <v>251</v>
      </c>
      <c r="C159" s="5">
        <v>3.79</v>
      </c>
      <c r="D159" s="4">
        <v>150</v>
      </c>
      <c r="E159" s="5">
        <v>6.04</v>
      </c>
      <c r="F159" s="4">
        <v>95</v>
      </c>
      <c r="G159" s="5">
        <v>2.3199999999999998</v>
      </c>
      <c r="H159" s="4">
        <v>0</v>
      </c>
    </row>
    <row r="160" spans="1:8" x14ac:dyDescent="0.2">
      <c r="A160" s="2" t="s">
        <v>74</v>
      </c>
      <c r="B160" s="4">
        <v>411</v>
      </c>
      <c r="C160" s="5">
        <v>6.21</v>
      </c>
      <c r="D160" s="4">
        <v>246</v>
      </c>
      <c r="E160" s="5">
        <v>9.9</v>
      </c>
      <c r="F160" s="4">
        <v>142</v>
      </c>
      <c r="G160" s="5">
        <v>3.47</v>
      </c>
      <c r="H160" s="4">
        <v>0</v>
      </c>
    </row>
    <row r="161" spans="1:8" x14ac:dyDescent="0.2">
      <c r="A161" s="2" t="s">
        <v>75</v>
      </c>
      <c r="B161" s="4">
        <v>211</v>
      </c>
      <c r="C161" s="5">
        <v>3.19</v>
      </c>
      <c r="D161" s="4">
        <v>28</v>
      </c>
      <c r="E161" s="5">
        <v>1.1299999999999999</v>
      </c>
      <c r="F161" s="4">
        <v>175</v>
      </c>
      <c r="G161" s="5">
        <v>4.2699999999999996</v>
      </c>
      <c r="H161" s="4">
        <v>0</v>
      </c>
    </row>
    <row r="162" spans="1:8" x14ac:dyDescent="0.2">
      <c r="A162" s="1" t="s">
        <v>10</v>
      </c>
      <c r="B162" s="4">
        <v>8083</v>
      </c>
      <c r="C162" s="5">
        <v>100</v>
      </c>
      <c r="D162" s="4">
        <v>2970</v>
      </c>
      <c r="E162" s="5">
        <v>100</v>
      </c>
      <c r="F162" s="4">
        <v>5032</v>
      </c>
      <c r="G162" s="5">
        <v>99.99</v>
      </c>
      <c r="H162" s="4">
        <v>6</v>
      </c>
    </row>
    <row r="163" spans="1:8" x14ac:dyDescent="0.2">
      <c r="A163" s="2" t="s">
        <v>61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62</v>
      </c>
      <c r="B164" s="4">
        <v>1078</v>
      </c>
      <c r="C164" s="5">
        <v>13.34</v>
      </c>
      <c r="D164" s="4">
        <v>132</v>
      </c>
      <c r="E164" s="5">
        <v>4.4400000000000004</v>
      </c>
      <c r="F164" s="4">
        <v>946</v>
      </c>
      <c r="G164" s="5">
        <v>18.8</v>
      </c>
      <c r="H164" s="4">
        <v>0</v>
      </c>
    </row>
    <row r="165" spans="1:8" x14ac:dyDescent="0.2">
      <c r="A165" s="2" t="s">
        <v>63</v>
      </c>
      <c r="B165" s="4">
        <v>420</v>
      </c>
      <c r="C165" s="5">
        <v>5.2</v>
      </c>
      <c r="D165" s="4">
        <v>77</v>
      </c>
      <c r="E165" s="5">
        <v>2.59</v>
      </c>
      <c r="F165" s="4">
        <v>343</v>
      </c>
      <c r="G165" s="5">
        <v>6.82</v>
      </c>
      <c r="H165" s="4">
        <v>0</v>
      </c>
    </row>
    <row r="166" spans="1:8" x14ac:dyDescent="0.2">
      <c r="A166" s="2" t="s">
        <v>64</v>
      </c>
      <c r="B166" s="4">
        <v>8</v>
      </c>
      <c r="C166" s="5">
        <v>0.1</v>
      </c>
      <c r="D166" s="4">
        <v>0</v>
      </c>
      <c r="E166" s="5">
        <v>0</v>
      </c>
      <c r="F166" s="4">
        <v>6</v>
      </c>
      <c r="G166" s="5">
        <v>0.12</v>
      </c>
      <c r="H166" s="4">
        <v>0</v>
      </c>
    </row>
    <row r="167" spans="1:8" x14ac:dyDescent="0.2">
      <c r="A167" s="2" t="s">
        <v>65</v>
      </c>
      <c r="B167" s="4">
        <v>148</v>
      </c>
      <c r="C167" s="5">
        <v>1.83</v>
      </c>
      <c r="D167" s="4">
        <v>5</v>
      </c>
      <c r="E167" s="5">
        <v>0.17</v>
      </c>
      <c r="F167" s="4">
        <v>143</v>
      </c>
      <c r="G167" s="5">
        <v>2.84</v>
      </c>
      <c r="H167" s="4">
        <v>0</v>
      </c>
    </row>
    <row r="168" spans="1:8" x14ac:dyDescent="0.2">
      <c r="A168" s="2" t="s">
        <v>66</v>
      </c>
      <c r="B168" s="4">
        <v>119</v>
      </c>
      <c r="C168" s="5">
        <v>1.47</v>
      </c>
      <c r="D168" s="4">
        <v>17</v>
      </c>
      <c r="E168" s="5">
        <v>0.56999999999999995</v>
      </c>
      <c r="F168" s="4">
        <v>102</v>
      </c>
      <c r="G168" s="5">
        <v>2.0299999999999998</v>
      </c>
      <c r="H168" s="4">
        <v>0</v>
      </c>
    </row>
    <row r="169" spans="1:8" x14ac:dyDescent="0.2">
      <c r="A169" s="2" t="s">
        <v>67</v>
      </c>
      <c r="B169" s="4">
        <v>1576</v>
      </c>
      <c r="C169" s="5">
        <v>19.5</v>
      </c>
      <c r="D169" s="4">
        <v>463</v>
      </c>
      <c r="E169" s="5">
        <v>15.59</v>
      </c>
      <c r="F169" s="4">
        <v>1113</v>
      </c>
      <c r="G169" s="5">
        <v>22.12</v>
      </c>
      <c r="H169" s="4">
        <v>0</v>
      </c>
    </row>
    <row r="170" spans="1:8" x14ac:dyDescent="0.2">
      <c r="A170" s="2" t="s">
        <v>68</v>
      </c>
      <c r="B170" s="4">
        <v>57</v>
      </c>
      <c r="C170" s="5">
        <v>0.71</v>
      </c>
      <c r="D170" s="4">
        <v>6</v>
      </c>
      <c r="E170" s="5">
        <v>0.2</v>
      </c>
      <c r="F170" s="4">
        <v>51</v>
      </c>
      <c r="G170" s="5">
        <v>1.01</v>
      </c>
      <c r="H170" s="4">
        <v>0</v>
      </c>
    </row>
    <row r="171" spans="1:8" x14ac:dyDescent="0.2">
      <c r="A171" s="2" t="s">
        <v>69</v>
      </c>
      <c r="B171" s="4">
        <v>962</v>
      </c>
      <c r="C171" s="5">
        <v>11.9</v>
      </c>
      <c r="D171" s="4">
        <v>123</v>
      </c>
      <c r="E171" s="5">
        <v>4.1399999999999997</v>
      </c>
      <c r="F171" s="4">
        <v>836</v>
      </c>
      <c r="G171" s="5">
        <v>16.61</v>
      </c>
      <c r="H171" s="4">
        <v>3</v>
      </c>
    </row>
    <row r="172" spans="1:8" x14ac:dyDescent="0.2">
      <c r="A172" s="2" t="s">
        <v>70</v>
      </c>
      <c r="B172" s="4">
        <v>571</v>
      </c>
      <c r="C172" s="5">
        <v>7.06</v>
      </c>
      <c r="D172" s="4">
        <v>207</v>
      </c>
      <c r="E172" s="5">
        <v>6.97</v>
      </c>
      <c r="F172" s="4">
        <v>362</v>
      </c>
      <c r="G172" s="5">
        <v>7.19</v>
      </c>
      <c r="H172" s="4">
        <v>0</v>
      </c>
    </row>
    <row r="173" spans="1:8" x14ac:dyDescent="0.2">
      <c r="A173" s="2" t="s">
        <v>71</v>
      </c>
      <c r="B173" s="4">
        <v>880</v>
      </c>
      <c r="C173" s="5">
        <v>10.89</v>
      </c>
      <c r="D173" s="4">
        <v>667</v>
      </c>
      <c r="E173" s="5">
        <v>22.46</v>
      </c>
      <c r="F173" s="4">
        <v>213</v>
      </c>
      <c r="G173" s="5">
        <v>4.2300000000000004</v>
      </c>
      <c r="H173" s="4">
        <v>0</v>
      </c>
    </row>
    <row r="174" spans="1:8" x14ac:dyDescent="0.2">
      <c r="A174" s="2" t="s">
        <v>72</v>
      </c>
      <c r="B174" s="4">
        <v>1135</v>
      </c>
      <c r="C174" s="5">
        <v>14.04</v>
      </c>
      <c r="D174" s="4">
        <v>721</v>
      </c>
      <c r="E174" s="5">
        <v>24.28</v>
      </c>
      <c r="F174" s="4">
        <v>354</v>
      </c>
      <c r="G174" s="5">
        <v>7.03</v>
      </c>
      <c r="H174" s="4">
        <v>2</v>
      </c>
    </row>
    <row r="175" spans="1:8" x14ac:dyDescent="0.2">
      <c r="A175" s="2" t="s">
        <v>73</v>
      </c>
      <c r="B175" s="4">
        <v>335</v>
      </c>
      <c r="C175" s="5">
        <v>4.1399999999999997</v>
      </c>
      <c r="D175" s="4">
        <v>190</v>
      </c>
      <c r="E175" s="5">
        <v>6.4</v>
      </c>
      <c r="F175" s="4">
        <v>142</v>
      </c>
      <c r="G175" s="5">
        <v>2.82</v>
      </c>
      <c r="H175" s="4">
        <v>1</v>
      </c>
    </row>
    <row r="176" spans="1:8" x14ac:dyDescent="0.2">
      <c r="A176" s="2" t="s">
        <v>74</v>
      </c>
      <c r="B176" s="4">
        <v>501</v>
      </c>
      <c r="C176" s="5">
        <v>6.2</v>
      </c>
      <c r="D176" s="4">
        <v>317</v>
      </c>
      <c r="E176" s="5">
        <v>10.67</v>
      </c>
      <c r="F176" s="4">
        <v>175</v>
      </c>
      <c r="G176" s="5">
        <v>3.48</v>
      </c>
      <c r="H176" s="4">
        <v>0</v>
      </c>
    </row>
    <row r="177" spans="1:8" x14ac:dyDescent="0.2">
      <c r="A177" s="2" t="s">
        <v>75</v>
      </c>
      <c r="B177" s="4">
        <v>293</v>
      </c>
      <c r="C177" s="5">
        <v>3.62</v>
      </c>
      <c r="D177" s="4">
        <v>45</v>
      </c>
      <c r="E177" s="5">
        <v>1.52</v>
      </c>
      <c r="F177" s="4">
        <v>246</v>
      </c>
      <c r="G177" s="5">
        <v>4.8899999999999997</v>
      </c>
      <c r="H177" s="4">
        <v>0</v>
      </c>
    </row>
    <row r="178" spans="1:8" x14ac:dyDescent="0.2">
      <c r="A178" s="1" t="s">
        <v>11</v>
      </c>
      <c r="B178" s="4">
        <v>1507</v>
      </c>
      <c r="C178" s="5">
        <v>100.00000000000001</v>
      </c>
      <c r="D178" s="4">
        <v>902</v>
      </c>
      <c r="E178" s="5">
        <v>99.999999999999986</v>
      </c>
      <c r="F178" s="4">
        <v>590</v>
      </c>
      <c r="G178" s="5">
        <v>100.01</v>
      </c>
      <c r="H178" s="4">
        <v>0</v>
      </c>
    </row>
    <row r="179" spans="1:8" x14ac:dyDescent="0.2">
      <c r="A179" s="2" t="s">
        <v>61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62</v>
      </c>
      <c r="B180" s="4">
        <v>197</v>
      </c>
      <c r="C180" s="5">
        <v>13.07</v>
      </c>
      <c r="D180" s="4">
        <v>93</v>
      </c>
      <c r="E180" s="5">
        <v>10.31</v>
      </c>
      <c r="F180" s="4">
        <v>104</v>
      </c>
      <c r="G180" s="5">
        <v>17.63</v>
      </c>
      <c r="H180" s="4">
        <v>0</v>
      </c>
    </row>
    <row r="181" spans="1:8" x14ac:dyDescent="0.2">
      <c r="A181" s="2" t="s">
        <v>63</v>
      </c>
      <c r="B181" s="4">
        <v>86</v>
      </c>
      <c r="C181" s="5">
        <v>5.71</v>
      </c>
      <c r="D181" s="4">
        <v>35</v>
      </c>
      <c r="E181" s="5">
        <v>3.88</v>
      </c>
      <c r="F181" s="4">
        <v>51</v>
      </c>
      <c r="G181" s="5">
        <v>8.64</v>
      </c>
      <c r="H181" s="4">
        <v>0</v>
      </c>
    </row>
    <row r="182" spans="1:8" x14ac:dyDescent="0.2">
      <c r="A182" s="2" t="s">
        <v>64</v>
      </c>
      <c r="B182" s="4">
        <v>1</v>
      </c>
      <c r="C182" s="5">
        <v>7.0000000000000007E-2</v>
      </c>
      <c r="D182" s="4">
        <v>0</v>
      </c>
      <c r="E182" s="5">
        <v>0</v>
      </c>
      <c r="F182" s="4">
        <v>1</v>
      </c>
      <c r="G182" s="5">
        <v>0.17</v>
      </c>
      <c r="H182" s="4">
        <v>0</v>
      </c>
    </row>
    <row r="183" spans="1:8" x14ac:dyDescent="0.2">
      <c r="A183" s="2" t="s">
        <v>65</v>
      </c>
      <c r="B183" s="4">
        <v>7</v>
      </c>
      <c r="C183" s="5">
        <v>0.46</v>
      </c>
      <c r="D183" s="4">
        <v>0</v>
      </c>
      <c r="E183" s="5">
        <v>0</v>
      </c>
      <c r="F183" s="4">
        <v>7</v>
      </c>
      <c r="G183" s="5">
        <v>1.19</v>
      </c>
      <c r="H183" s="4">
        <v>0</v>
      </c>
    </row>
    <row r="184" spans="1:8" x14ac:dyDescent="0.2">
      <c r="A184" s="2" t="s">
        <v>66</v>
      </c>
      <c r="B184" s="4">
        <v>8</v>
      </c>
      <c r="C184" s="5">
        <v>0.53</v>
      </c>
      <c r="D184" s="4">
        <v>0</v>
      </c>
      <c r="E184" s="5">
        <v>0</v>
      </c>
      <c r="F184" s="4">
        <v>8</v>
      </c>
      <c r="G184" s="5">
        <v>1.36</v>
      </c>
      <c r="H184" s="4">
        <v>0</v>
      </c>
    </row>
    <row r="185" spans="1:8" x14ac:dyDescent="0.2">
      <c r="A185" s="2" t="s">
        <v>67</v>
      </c>
      <c r="B185" s="4">
        <v>351</v>
      </c>
      <c r="C185" s="5">
        <v>23.29</v>
      </c>
      <c r="D185" s="4">
        <v>178</v>
      </c>
      <c r="E185" s="5">
        <v>19.73</v>
      </c>
      <c r="F185" s="4">
        <v>173</v>
      </c>
      <c r="G185" s="5">
        <v>29.32</v>
      </c>
      <c r="H185" s="4">
        <v>0</v>
      </c>
    </row>
    <row r="186" spans="1:8" x14ac:dyDescent="0.2">
      <c r="A186" s="2" t="s">
        <v>68</v>
      </c>
      <c r="B186" s="4">
        <v>11</v>
      </c>
      <c r="C186" s="5">
        <v>0.73</v>
      </c>
      <c r="D186" s="4">
        <v>2</v>
      </c>
      <c r="E186" s="5">
        <v>0.22</v>
      </c>
      <c r="F186" s="4">
        <v>9</v>
      </c>
      <c r="G186" s="5">
        <v>1.53</v>
      </c>
      <c r="H186" s="4">
        <v>0</v>
      </c>
    </row>
    <row r="187" spans="1:8" x14ac:dyDescent="0.2">
      <c r="A187" s="2" t="s">
        <v>69</v>
      </c>
      <c r="B187" s="4">
        <v>93</v>
      </c>
      <c r="C187" s="5">
        <v>6.17</v>
      </c>
      <c r="D187" s="4">
        <v>32</v>
      </c>
      <c r="E187" s="5">
        <v>3.55</v>
      </c>
      <c r="F187" s="4">
        <v>61</v>
      </c>
      <c r="G187" s="5">
        <v>10.34</v>
      </c>
      <c r="H187" s="4">
        <v>0</v>
      </c>
    </row>
    <row r="188" spans="1:8" x14ac:dyDescent="0.2">
      <c r="A188" s="2" t="s">
        <v>70</v>
      </c>
      <c r="B188" s="4">
        <v>52</v>
      </c>
      <c r="C188" s="5">
        <v>3.45</v>
      </c>
      <c r="D188" s="4">
        <v>32</v>
      </c>
      <c r="E188" s="5">
        <v>3.55</v>
      </c>
      <c r="F188" s="4">
        <v>20</v>
      </c>
      <c r="G188" s="5">
        <v>3.39</v>
      </c>
      <c r="H188" s="4">
        <v>0</v>
      </c>
    </row>
    <row r="189" spans="1:8" x14ac:dyDescent="0.2">
      <c r="A189" s="2" t="s">
        <v>71</v>
      </c>
      <c r="B189" s="4">
        <v>300</v>
      </c>
      <c r="C189" s="5">
        <v>19.91</v>
      </c>
      <c r="D189" s="4">
        <v>248</v>
      </c>
      <c r="E189" s="5">
        <v>27.49</v>
      </c>
      <c r="F189" s="4">
        <v>52</v>
      </c>
      <c r="G189" s="5">
        <v>8.81</v>
      </c>
      <c r="H189" s="4">
        <v>0</v>
      </c>
    </row>
    <row r="190" spans="1:8" x14ac:dyDescent="0.2">
      <c r="A190" s="2" t="s">
        <v>72</v>
      </c>
      <c r="B190" s="4">
        <v>212</v>
      </c>
      <c r="C190" s="5">
        <v>14.07</v>
      </c>
      <c r="D190" s="4">
        <v>182</v>
      </c>
      <c r="E190" s="5">
        <v>20.18</v>
      </c>
      <c r="F190" s="4">
        <v>28</v>
      </c>
      <c r="G190" s="5">
        <v>4.75</v>
      </c>
      <c r="H190" s="4">
        <v>0</v>
      </c>
    </row>
    <row r="191" spans="1:8" x14ac:dyDescent="0.2">
      <c r="A191" s="2" t="s">
        <v>73</v>
      </c>
      <c r="B191" s="4">
        <v>63</v>
      </c>
      <c r="C191" s="5">
        <v>4.18</v>
      </c>
      <c r="D191" s="4">
        <v>39</v>
      </c>
      <c r="E191" s="5">
        <v>4.32</v>
      </c>
      <c r="F191" s="4">
        <v>12</v>
      </c>
      <c r="G191" s="5">
        <v>2.0299999999999998</v>
      </c>
      <c r="H191" s="4">
        <v>0</v>
      </c>
    </row>
    <row r="192" spans="1:8" x14ac:dyDescent="0.2">
      <c r="A192" s="2" t="s">
        <v>74</v>
      </c>
      <c r="B192" s="4">
        <v>69</v>
      </c>
      <c r="C192" s="5">
        <v>4.58</v>
      </c>
      <c r="D192" s="4">
        <v>42</v>
      </c>
      <c r="E192" s="5">
        <v>4.66</v>
      </c>
      <c r="F192" s="4">
        <v>27</v>
      </c>
      <c r="G192" s="5">
        <v>4.58</v>
      </c>
      <c r="H192" s="4">
        <v>0</v>
      </c>
    </row>
    <row r="193" spans="1:8" x14ac:dyDescent="0.2">
      <c r="A193" s="2" t="s">
        <v>75</v>
      </c>
      <c r="B193" s="4">
        <v>57</v>
      </c>
      <c r="C193" s="5">
        <v>3.78</v>
      </c>
      <c r="D193" s="4">
        <v>19</v>
      </c>
      <c r="E193" s="5">
        <v>2.11</v>
      </c>
      <c r="F193" s="4">
        <v>37</v>
      </c>
      <c r="G193" s="5">
        <v>6.27</v>
      </c>
      <c r="H193" s="4">
        <v>0</v>
      </c>
    </row>
    <row r="194" spans="1:8" x14ac:dyDescent="0.2">
      <c r="A194" s="1" t="s">
        <v>12</v>
      </c>
      <c r="B194" s="4">
        <v>2835</v>
      </c>
      <c r="C194" s="5">
        <v>100.00000000000001</v>
      </c>
      <c r="D194" s="4">
        <v>1188</v>
      </c>
      <c r="E194" s="5">
        <v>100.02000000000001</v>
      </c>
      <c r="F194" s="4">
        <v>1634</v>
      </c>
      <c r="G194" s="5">
        <v>100</v>
      </c>
      <c r="H194" s="4">
        <v>0</v>
      </c>
    </row>
    <row r="195" spans="1:8" x14ac:dyDescent="0.2">
      <c r="A195" s="2" t="s">
        <v>61</v>
      </c>
      <c r="B195" s="4">
        <v>2</v>
      </c>
      <c r="C195" s="5">
        <v>7.0000000000000007E-2</v>
      </c>
      <c r="D195" s="4">
        <v>0</v>
      </c>
      <c r="E195" s="5">
        <v>0</v>
      </c>
      <c r="F195" s="4">
        <v>2</v>
      </c>
      <c r="G195" s="5">
        <v>0.12</v>
      </c>
      <c r="H195" s="4">
        <v>0</v>
      </c>
    </row>
    <row r="196" spans="1:8" x14ac:dyDescent="0.2">
      <c r="A196" s="2" t="s">
        <v>62</v>
      </c>
      <c r="B196" s="4">
        <v>481</v>
      </c>
      <c r="C196" s="5">
        <v>16.97</v>
      </c>
      <c r="D196" s="4">
        <v>79</v>
      </c>
      <c r="E196" s="5">
        <v>6.65</v>
      </c>
      <c r="F196" s="4">
        <v>402</v>
      </c>
      <c r="G196" s="5">
        <v>24.6</v>
      </c>
      <c r="H196" s="4">
        <v>0</v>
      </c>
    </row>
    <row r="197" spans="1:8" x14ac:dyDescent="0.2">
      <c r="A197" s="2" t="s">
        <v>63</v>
      </c>
      <c r="B197" s="4">
        <v>106</v>
      </c>
      <c r="C197" s="5">
        <v>3.74</v>
      </c>
      <c r="D197" s="4">
        <v>23</v>
      </c>
      <c r="E197" s="5">
        <v>1.94</v>
      </c>
      <c r="F197" s="4">
        <v>83</v>
      </c>
      <c r="G197" s="5">
        <v>5.08</v>
      </c>
      <c r="H197" s="4">
        <v>0</v>
      </c>
    </row>
    <row r="198" spans="1:8" x14ac:dyDescent="0.2">
      <c r="A198" s="2" t="s">
        <v>64</v>
      </c>
      <c r="B198" s="4">
        <v>6</v>
      </c>
      <c r="C198" s="5">
        <v>0.21</v>
      </c>
      <c r="D198" s="4">
        <v>0</v>
      </c>
      <c r="E198" s="5">
        <v>0</v>
      </c>
      <c r="F198" s="4">
        <v>6</v>
      </c>
      <c r="G198" s="5">
        <v>0.37</v>
      </c>
      <c r="H198" s="4">
        <v>0</v>
      </c>
    </row>
    <row r="199" spans="1:8" x14ac:dyDescent="0.2">
      <c r="A199" s="2" t="s">
        <v>65</v>
      </c>
      <c r="B199" s="4">
        <v>24</v>
      </c>
      <c r="C199" s="5">
        <v>0.85</v>
      </c>
      <c r="D199" s="4">
        <v>0</v>
      </c>
      <c r="E199" s="5">
        <v>0</v>
      </c>
      <c r="F199" s="4">
        <v>24</v>
      </c>
      <c r="G199" s="5">
        <v>1.47</v>
      </c>
      <c r="H199" s="4">
        <v>0</v>
      </c>
    </row>
    <row r="200" spans="1:8" x14ac:dyDescent="0.2">
      <c r="A200" s="2" t="s">
        <v>66</v>
      </c>
      <c r="B200" s="4">
        <v>44</v>
      </c>
      <c r="C200" s="5">
        <v>1.55</v>
      </c>
      <c r="D200" s="4">
        <v>2</v>
      </c>
      <c r="E200" s="5">
        <v>0.17</v>
      </c>
      <c r="F200" s="4">
        <v>42</v>
      </c>
      <c r="G200" s="5">
        <v>2.57</v>
      </c>
      <c r="H200" s="4">
        <v>0</v>
      </c>
    </row>
    <row r="201" spans="1:8" x14ac:dyDescent="0.2">
      <c r="A201" s="2" t="s">
        <v>67</v>
      </c>
      <c r="B201" s="4">
        <v>669</v>
      </c>
      <c r="C201" s="5">
        <v>23.6</v>
      </c>
      <c r="D201" s="4">
        <v>203</v>
      </c>
      <c r="E201" s="5">
        <v>17.09</v>
      </c>
      <c r="F201" s="4">
        <v>466</v>
      </c>
      <c r="G201" s="5">
        <v>28.52</v>
      </c>
      <c r="H201" s="4">
        <v>0</v>
      </c>
    </row>
    <row r="202" spans="1:8" x14ac:dyDescent="0.2">
      <c r="A202" s="2" t="s">
        <v>68</v>
      </c>
      <c r="B202" s="4">
        <v>27</v>
      </c>
      <c r="C202" s="5">
        <v>0.95</v>
      </c>
      <c r="D202" s="4">
        <v>4</v>
      </c>
      <c r="E202" s="5">
        <v>0.34</v>
      </c>
      <c r="F202" s="4">
        <v>23</v>
      </c>
      <c r="G202" s="5">
        <v>1.41</v>
      </c>
      <c r="H202" s="4">
        <v>0</v>
      </c>
    </row>
    <row r="203" spans="1:8" x14ac:dyDescent="0.2">
      <c r="A203" s="2" t="s">
        <v>69</v>
      </c>
      <c r="B203" s="4">
        <v>194</v>
      </c>
      <c r="C203" s="5">
        <v>6.84</v>
      </c>
      <c r="D203" s="4">
        <v>21</v>
      </c>
      <c r="E203" s="5">
        <v>1.77</v>
      </c>
      <c r="F203" s="4">
        <v>173</v>
      </c>
      <c r="G203" s="5">
        <v>10.59</v>
      </c>
      <c r="H203" s="4">
        <v>0</v>
      </c>
    </row>
    <row r="204" spans="1:8" x14ac:dyDescent="0.2">
      <c r="A204" s="2" t="s">
        <v>70</v>
      </c>
      <c r="B204" s="4">
        <v>145</v>
      </c>
      <c r="C204" s="5">
        <v>5.1100000000000003</v>
      </c>
      <c r="D204" s="4">
        <v>65</v>
      </c>
      <c r="E204" s="5">
        <v>5.47</v>
      </c>
      <c r="F204" s="4">
        <v>79</v>
      </c>
      <c r="G204" s="5">
        <v>4.83</v>
      </c>
      <c r="H204" s="4">
        <v>0</v>
      </c>
    </row>
    <row r="205" spans="1:8" x14ac:dyDescent="0.2">
      <c r="A205" s="2" t="s">
        <v>71</v>
      </c>
      <c r="B205" s="4">
        <v>407</v>
      </c>
      <c r="C205" s="5">
        <v>14.36</v>
      </c>
      <c r="D205" s="4">
        <v>321</v>
      </c>
      <c r="E205" s="5">
        <v>27.02</v>
      </c>
      <c r="F205" s="4">
        <v>85</v>
      </c>
      <c r="G205" s="5">
        <v>5.2</v>
      </c>
      <c r="H205" s="4">
        <v>0</v>
      </c>
    </row>
    <row r="206" spans="1:8" x14ac:dyDescent="0.2">
      <c r="A206" s="2" t="s">
        <v>72</v>
      </c>
      <c r="B206" s="4">
        <v>390</v>
      </c>
      <c r="C206" s="5">
        <v>13.76</v>
      </c>
      <c r="D206" s="4">
        <v>296</v>
      </c>
      <c r="E206" s="5">
        <v>24.92</v>
      </c>
      <c r="F206" s="4">
        <v>94</v>
      </c>
      <c r="G206" s="5">
        <v>5.75</v>
      </c>
      <c r="H206" s="4">
        <v>0</v>
      </c>
    </row>
    <row r="207" spans="1:8" x14ac:dyDescent="0.2">
      <c r="A207" s="2" t="s">
        <v>73</v>
      </c>
      <c r="B207" s="4">
        <v>91</v>
      </c>
      <c r="C207" s="5">
        <v>3.21</v>
      </c>
      <c r="D207" s="4">
        <v>57</v>
      </c>
      <c r="E207" s="5">
        <v>4.8</v>
      </c>
      <c r="F207" s="4">
        <v>24</v>
      </c>
      <c r="G207" s="5">
        <v>1.47</v>
      </c>
      <c r="H207" s="4">
        <v>0</v>
      </c>
    </row>
    <row r="208" spans="1:8" x14ac:dyDescent="0.2">
      <c r="A208" s="2" t="s">
        <v>74</v>
      </c>
      <c r="B208" s="4">
        <v>142</v>
      </c>
      <c r="C208" s="5">
        <v>5.01</v>
      </c>
      <c r="D208" s="4">
        <v>84</v>
      </c>
      <c r="E208" s="5">
        <v>7.07</v>
      </c>
      <c r="F208" s="4">
        <v>57</v>
      </c>
      <c r="G208" s="5">
        <v>3.49</v>
      </c>
      <c r="H208" s="4">
        <v>0</v>
      </c>
    </row>
    <row r="209" spans="1:8" x14ac:dyDescent="0.2">
      <c r="A209" s="2" t="s">
        <v>75</v>
      </c>
      <c r="B209" s="4">
        <v>107</v>
      </c>
      <c r="C209" s="5">
        <v>3.77</v>
      </c>
      <c r="D209" s="4">
        <v>33</v>
      </c>
      <c r="E209" s="5">
        <v>2.78</v>
      </c>
      <c r="F209" s="4">
        <v>74</v>
      </c>
      <c r="G209" s="5">
        <v>4.53</v>
      </c>
      <c r="H209" s="4">
        <v>0</v>
      </c>
    </row>
    <row r="210" spans="1:8" x14ac:dyDescent="0.2">
      <c r="A210" s="1" t="s">
        <v>13</v>
      </c>
      <c r="B210" s="4">
        <v>7459</v>
      </c>
      <c r="C210" s="5">
        <v>100</v>
      </c>
      <c r="D210" s="4">
        <v>3006</v>
      </c>
      <c r="E210" s="5">
        <v>99.98</v>
      </c>
      <c r="F210" s="4">
        <v>4428</v>
      </c>
      <c r="G210" s="5">
        <v>100.01999999999998</v>
      </c>
      <c r="H210" s="4">
        <v>6</v>
      </c>
    </row>
    <row r="211" spans="1:8" x14ac:dyDescent="0.2">
      <c r="A211" s="2" t="s">
        <v>61</v>
      </c>
      <c r="B211" s="4">
        <v>1</v>
      </c>
      <c r="C211" s="5">
        <v>0.01</v>
      </c>
      <c r="D211" s="4">
        <v>0</v>
      </c>
      <c r="E211" s="5">
        <v>0</v>
      </c>
      <c r="F211" s="4">
        <v>1</v>
      </c>
      <c r="G211" s="5">
        <v>0.02</v>
      </c>
      <c r="H211" s="4">
        <v>0</v>
      </c>
    </row>
    <row r="212" spans="1:8" x14ac:dyDescent="0.2">
      <c r="A212" s="2" t="s">
        <v>62</v>
      </c>
      <c r="B212" s="4">
        <v>1017</v>
      </c>
      <c r="C212" s="5">
        <v>13.63</v>
      </c>
      <c r="D212" s="4">
        <v>112</v>
      </c>
      <c r="E212" s="5">
        <v>3.73</v>
      </c>
      <c r="F212" s="4">
        <v>905</v>
      </c>
      <c r="G212" s="5">
        <v>20.440000000000001</v>
      </c>
      <c r="H212" s="4">
        <v>0</v>
      </c>
    </row>
    <row r="213" spans="1:8" x14ac:dyDescent="0.2">
      <c r="A213" s="2" t="s">
        <v>63</v>
      </c>
      <c r="B213" s="4">
        <v>505</v>
      </c>
      <c r="C213" s="5">
        <v>6.77</v>
      </c>
      <c r="D213" s="4">
        <v>115</v>
      </c>
      <c r="E213" s="5">
        <v>3.83</v>
      </c>
      <c r="F213" s="4">
        <v>389</v>
      </c>
      <c r="G213" s="5">
        <v>8.7899999999999991</v>
      </c>
      <c r="H213" s="4">
        <v>1</v>
      </c>
    </row>
    <row r="214" spans="1:8" x14ac:dyDescent="0.2">
      <c r="A214" s="2" t="s">
        <v>64</v>
      </c>
      <c r="B214" s="4">
        <v>6</v>
      </c>
      <c r="C214" s="5">
        <v>0.08</v>
      </c>
      <c r="D214" s="4">
        <v>1</v>
      </c>
      <c r="E214" s="5">
        <v>0.03</v>
      </c>
      <c r="F214" s="4">
        <v>5</v>
      </c>
      <c r="G214" s="5">
        <v>0.11</v>
      </c>
      <c r="H214" s="4">
        <v>0</v>
      </c>
    </row>
    <row r="215" spans="1:8" x14ac:dyDescent="0.2">
      <c r="A215" s="2" t="s">
        <v>65</v>
      </c>
      <c r="B215" s="4">
        <v>135</v>
      </c>
      <c r="C215" s="5">
        <v>1.81</v>
      </c>
      <c r="D215" s="4">
        <v>4</v>
      </c>
      <c r="E215" s="5">
        <v>0.13</v>
      </c>
      <c r="F215" s="4">
        <v>131</v>
      </c>
      <c r="G215" s="5">
        <v>2.96</v>
      </c>
      <c r="H215" s="4">
        <v>0</v>
      </c>
    </row>
    <row r="216" spans="1:8" x14ac:dyDescent="0.2">
      <c r="A216" s="2" t="s">
        <v>66</v>
      </c>
      <c r="B216" s="4">
        <v>67</v>
      </c>
      <c r="C216" s="5">
        <v>0.9</v>
      </c>
      <c r="D216" s="4">
        <v>7</v>
      </c>
      <c r="E216" s="5">
        <v>0.23</v>
      </c>
      <c r="F216" s="4">
        <v>60</v>
      </c>
      <c r="G216" s="5">
        <v>1.36</v>
      </c>
      <c r="H216" s="4">
        <v>0</v>
      </c>
    </row>
    <row r="217" spans="1:8" x14ac:dyDescent="0.2">
      <c r="A217" s="2" t="s">
        <v>67</v>
      </c>
      <c r="B217" s="4">
        <v>1453</v>
      </c>
      <c r="C217" s="5">
        <v>19.48</v>
      </c>
      <c r="D217" s="4">
        <v>463</v>
      </c>
      <c r="E217" s="5">
        <v>15.4</v>
      </c>
      <c r="F217" s="4">
        <v>990</v>
      </c>
      <c r="G217" s="5">
        <v>22.36</v>
      </c>
      <c r="H217" s="4">
        <v>0</v>
      </c>
    </row>
    <row r="218" spans="1:8" x14ac:dyDescent="0.2">
      <c r="A218" s="2" t="s">
        <v>68</v>
      </c>
      <c r="B218" s="4">
        <v>34</v>
      </c>
      <c r="C218" s="5">
        <v>0.46</v>
      </c>
      <c r="D218" s="4">
        <v>4</v>
      </c>
      <c r="E218" s="5">
        <v>0.13</v>
      </c>
      <c r="F218" s="4">
        <v>30</v>
      </c>
      <c r="G218" s="5">
        <v>0.68</v>
      </c>
      <c r="H218" s="4">
        <v>0</v>
      </c>
    </row>
    <row r="219" spans="1:8" x14ac:dyDescent="0.2">
      <c r="A219" s="2" t="s">
        <v>69</v>
      </c>
      <c r="B219" s="4">
        <v>922</v>
      </c>
      <c r="C219" s="5">
        <v>12.36</v>
      </c>
      <c r="D219" s="4">
        <v>212</v>
      </c>
      <c r="E219" s="5">
        <v>7.05</v>
      </c>
      <c r="F219" s="4">
        <v>708</v>
      </c>
      <c r="G219" s="5">
        <v>15.99</v>
      </c>
      <c r="H219" s="4">
        <v>2</v>
      </c>
    </row>
    <row r="220" spans="1:8" x14ac:dyDescent="0.2">
      <c r="A220" s="2" t="s">
        <v>70</v>
      </c>
      <c r="B220" s="4">
        <v>437</v>
      </c>
      <c r="C220" s="5">
        <v>5.86</v>
      </c>
      <c r="D220" s="4">
        <v>172</v>
      </c>
      <c r="E220" s="5">
        <v>5.72</v>
      </c>
      <c r="F220" s="4">
        <v>263</v>
      </c>
      <c r="G220" s="5">
        <v>5.94</v>
      </c>
      <c r="H220" s="4">
        <v>1</v>
      </c>
    </row>
    <row r="221" spans="1:8" x14ac:dyDescent="0.2">
      <c r="A221" s="2" t="s">
        <v>71</v>
      </c>
      <c r="B221" s="4">
        <v>859</v>
      </c>
      <c r="C221" s="5">
        <v>11.52</v>
      </c>
      <c r="D221" s="4">
        <v>681</v>
      </c>
      <c r="E221" s="5">
        <v>22.65</v>
      </c>
      <c r="F221" s="4">
        <v>178</v>
      </c>
      <c r="G221" s="5">
        <v>4.0199999999999996</v>
      </c>
      <c r="H221" s="4">
        <v>0</v>
      </c>
    </row>
    <row r="222" spans="1:8" x14ac:dyDescent="0.2">
      <c r="A222" s="2" t="s">
        <v>72</v>
      </c>
      <c r="B222" s="4">
        <v>1019</v>
      </c>
      <c r="C222" s="5">
        <v>13.66</v>
      </c>
      <c r="D222" s="4">
        <v>714</v>
      </c>
      <c r="E222" s="5">
        <v>23.75</v>
      </c>
      <c r="F222" s="4">
        <v>302</v>
      </c>
      <c r="G222" s="5">
        <v>6.82</v>
      </c>
      <c r="H222" s="4">
        <v>2</v>
      </c>
    </row>
    <row r="223" spans="1:8" x14ac:dyDescent="0.2">
      <c r="A223" s="2" t="s">
        <v>73</v>
      </c>
      <c r="B223" s="4">
        <v>311</v>
      </c>
      <c r="C223" s="5">
        <v>4.17</v>
      </c>
      <c r="D223" s="4">
        <v>191</v>
      </c>
      <c r="E223" s="5">
        <v>6.35</v>
      </c>
      <c r="F223" s="4">
        <v>107</v>
      </c>
      <c r="G223" s="5">
        <v>2.42</v>
      </c>
      <c r="H223" s="4">
        <v>0</v>
      </c>
    </row>
    <row r="224" spans="1:8" x14ac:dyDescent="0.2">
      <c r="A224" s="2" t="s">
        <v>74</v>
      </c>
      <c r="B224" s="4">
        <v>460</v>
      </c>
      <c r="C224" s="5">
        <v>6.17</v>
      </c>
      <c r="D224" s="4">
        <v>284</v>
      </c>
      <c r="E224" s="5">
        <v>9.4499999999999993</v>
      </c>
      <c r="F224" s="4">
        <v>174</v>
      </c>
      <c r="G224" s="5">
        <v>3.93</v>
      </c>
      <c r="H224" s="4">
        <v>0</v>
      </c>
    </row>
    <row r="225" spans="1:8" x14ac:dyDescent="0.2">
      <c r="A225" s="2" t="s">
        <v>75</v>
      </c>
      <c r="B225" s="4">
        <v>233</v>
      </c>
      <c r="C225" s="5">
        <v>3.12</v>
      </c>
      <c r="D225" s="4">
        <v>46</v>
      </c>
      <c r="E225" s="5">
        <v>1.53</v>
      </c>
      <c r="F225" s="4">
        <v>185</v>
      </c>
      <c r="G225" s="5">
        <v>4.18</v>
      </c>
      <c r="H225" s="4">
        <v>0</v>
      </c>
    </row>
    <row r="226" spans="1:8" x14ac:dyDescent="0.2">
      <c r="A226" s="1" t="s">
        <v>14</v>
      </c>
      <c r="B226" s="4">
        <v>2751</v>
      </c>
      <c r="C226" s="5">
        <v>100.00999999999998</v>
      </c>
      <c r="D226" s="4">
        <v>1155</v>
      </c>
      <c r="E226" s="5">
        <v>99.990000000000009</v>
      </c>
      <c r="F226" s="4">
        <v>1558</v>
      </c>
      <c r="G226" s="5">
        <v>100.00000000000001</v>
      </c>
      <c r="H226" s="4">
        <v>3</v>
      </c>
    </row>
    <row r="227" spans="1:8" x14ac:dyDescent="0.2">
      <c r="A227" s="2" t="s">
        <v>61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62</v>
      </c>
      <c r="B228" s="4">
        <v>487</v>
      </c>
      <c r="C228" s="5">
        <v>17.7</v>
      </c>
      <c r="D228" s="4">
        <v>124</v>
      </c>
      <c r="E228" s="5">
        <v>10.74</v>
      </c>
      <c r="F228" s="4">
        <v>363</v>
      </c>
      <c r="G228" s="5">
        <v>23.3</v>
      </c>
      <c r="H228" s="4">
        <v>0</v>
      </c>
    </row>
    <row r="229" spans="1:8" x14ac:dyDescent="0.2">
      <c r="A229" s="2" t="s">
        <v>63</v>
      </c>
      <c r="B229" s="4">
        <v>332</v>
      </c>
      <c r="C229" s="5">
        <v>12.07</v>
      </c>
      <c r="D229" s="4">
        <v>67</v>
      </c>
      <c r="E229" s="5">
        <v>5.8</v>
      </c>
      <c r="F229" s="4">
        <v>264</v>
      </c>
      <c r="G229" s="5">
        <v>16.940000000000001</v>
      </c>
      <c r="H229" s="4">
        <v>1</v>
      </c>
    </row>
    <row r="230" spans="1:8" x14ac:dyDescent="0.2">
      <c r="A230" s="2" t="s">
        <v>64</v>
      </c>
      <c r="B230" s="4">
        <v>5</v>
      </c>
      <c r="C230" s="5">
        <v>0.18</v>
      </c>
      <c r="D230" s="4">
        <v>0</v>
      </c>
      <c r="E230" s="5">
        <v>0</v>
      </c>
      <c r="F230" s="4">
        <v>5</v>
      </c>
      <c r="G230" s="5">
        <v>0.32</v>
      </c>
      <c r="H230" s="4">
        <v>0</v>
      </c>
    </row>
    <row r="231" spans="1:8" x14ac:dyDescent="0.2">
      <c r="A231" s="2" t="s">
        <v>65</v>
      </c>
      <c r="B231" s="4">
        <v>19</v>
      </c>
      <c r="C231" s="5">
        <v>0.69</v>
      </c>
      <c r="D231" s="4">
        <v>1</v>
      </c>
      <c r="E231" s="5">
        <v>0.09</v>
      </c>
      <c r="F231" s="4">
        <v>18</v>
      </c>
      <c r="G231" s="5">
        <v>1.1599999999999999</v>
      </c>
      <c r="H231" s="4">
        <v>0</v>
      </c>
    </row>
    <row r="232" spans="1:8" x14ac:dyDescent="0.2">
      <c r="A232" s="2" t="s">
        <v>66</v>
      </c>
      <c r="B232" s="4">
        <v>50</v>
      </c>
      <c r="C232" s="5">
        <v>1.82</v>
      </c>
      <c r="D232" s="4">
        <v>2</v>
      </c>
      <c r="E232" s="5">
        <v>0.17</v>
      </c>
      <c r="F232" s="4">
        <v>48</v>
      </c>
      <c r="G232" s="5">
        <v>3.08</v>
      </c>
      <c r="H232" s="4">
        <v>0</v>
      </c>
    </row>
    <row r="233" spans="1:8" x14ac:dyDescent="0.2">
      <c r="A233" s="2" t="s">
        <v>67</v>
      </c>
      <c r="B233" s="4">
        <v>593</v>
      </c>
      <c r="C233" s="5">
        <v>21.56</v>
      </c>
      <c r="D233" s="4">
        <v>210</v>
      </c>
      <c r="E233" s="5">
        <v>18.18</v>
      </c>
      <c r="F233" s="4">
        <v>382</v>
      </c>
      <c r="G233" s="5">
        <v>24.52</v>
      </c>
      <c r="H233" s="4">
        <v>1</v>
      </c>
    </row>
    <row r="234" spans="1:8" x14ac:dyDescent="0.2">
      <c r="A234" s="2" t="s">
        <v>68</v>
      </c>
      <c r="B234" s="4">
        <v>14</v>
      </c>
      <c r="C234" s="5">
        <v>0.51</v>
      </c>
      <c r="D234" s="4">
        <v>0</v>
      </c>
      <c r="E234" s="5">
        <v>0</v>
      </c>
      <c r="F234" s="4">
        <v>14</v>
      </c>
      <c r="G234" s="5">
        <v>0.9</v>
      </c>
      <c r="H234" s="4">
        <v>0</v>
      </c>
    </row>
    <row r="235" spans="1:8" x14ac:dyDescent="0.2">
      <c r="A235" s="2" t="s">
        <v>69</v>
      </c>
      <c r="B235" s="4">
        <v>244</v>
      </c>
      <c r="C235" s="5">
        <v>8.8699999999999992</v>
      </c>
      <c r="D235" s="4">
        <v>78</v>
      </c>
      <c r="E235" s="5">
        <v>6.75</v>
      </c>
      <c r="F235" s="4">
        <v>165</v>
      </c>
      <c r="G235" s="5">
        <v>10.59</v>
      </c>
      <c r="H235" s="4">
        <v>0</v>
      </c>
    </row>
    <row r="236" spans="1:8" x14ac:dyDescent="0.2">
      <c r="A236" s="2" t="s">
        <v>70</v>
      </c>
      <c r="B236" s="4">
        <v>102</v>
      </c>
      <c r="C236" s="5">
        <v>3.71</v>
      </c>
      <c r="D236" s="4">
        <v>47</v>
      </c>
      <c r="E236" s="5">
        <v>4.07</v>
      </c>
      <c r="F236" s="4">
        <v>52</v>
      </c>
      <c r="G236" s="5">
        <v>3.34</v>
      </c>
      <c r="H236" s="4">
        <v>0</v>
      </c>
    </row>
    <row r="237" spans="1:8" x14ac:dyDescent="0.2">
      <c r="A237" s="2" t="s">
        <v>71</v>
      </c>
      <c r="B237" s="4">
        <v>236</v>
      </c>
      <c r="C237" s="5">
        <v>8.58</v>
      </c>
      <c r="D237" s="4">
        <v>195</v>
      </c>
      <c r="E237" s="5">
        <v>16.88</v>
      </c>
      <c r="F237" s="4">
        <v>39</v>
      </c>
      <c r="G237" s="5">
        <v>2.5</v>
      </c>
      <c r="H237" s="4">
        <v>0</v>
      </c>
    </row>
    <row r="238" spans="1:8" x14ac:dyDescent="0.2">
      <c r="A238" s="2" t="s">
        <v>72</v>
      </c>
      <c r="B238" s="4">
        <v>330</v>
      </c>
      <c r="C238" s="5">
        <v>12</v>
      </c>
      <c r="D238" s="4">
        <v>259</v>
      </c>
      <c r="E238" s="5">
        <v>22.42</v>
      </c>
      <c r="F238" s="4">
        <v>71</v>
      </c>
      <c r="G238" s="5">
        <v>4.5599999999999996</v>
      </c>
      <c r="H238" s="4">
        <v>0</v>
      </c>
    </row>
    <row r="239" spans="1:8" x14ac:dyDescent="0.2">
      <c r="A239" s="2" t="s">
        <v>73</v>
      </c>
      <c r="B239" s="4">
        <v>88</v>
      </c>
      <c r="C239" s="5">
        <v>3.2</v>
      </c>
      <c r="D239" s="4">
        <v>53</v>
      </c>
      <c r="E239" s="5">
        <v>4.59</v>
      </c>
      <c r="F239" s="4">
        <v>24</v>
      </c>
      <c r="G239" s="5">
        <v>1.54</v>
      </c>
      <c r="H239" s="4">
        <v>0</v>
      </c>
    </row>
    <row r="240" spans="1:8" x14ac:dyDescent="0.2">
      <c r="A240" s="2" t="s">
        <v>74</v>
      </c>
      <c r="B240" s="4">
        <v>142</v>
      </c>
      <c r="C240" s="5">
        <v>5.16</v>
      </c>
      <c r="D240" s="4">
        <v>79</v>
      </c>
      <c r="E240" s="5">
        <v>6.84</v>
      </c>
      <c r="F240" s="4">
        <v>45</v>
      </c>
      <c r="G240" s="5">
        <v>2.89</v>
      </c>
      <c r="H240" s="4">
        <v>1</v>
      </c>
    </row>
    <row r="241" spans="1:8" x14ac:dyDescent="0.2">
      <c r="A241" s="2" t="s">
        <v>75</v>
      </c>
      <c r="B241" s="4">
        <v>109</v>
      </c>
      <c r="C241" s="5">
        <v>3.96</v>
      </c>
      <c r="D241" s="4">
        <v>40</v>
      </c>
      <c r="E241" s="5">
        <v>3.46</v>
      </c>
      <c r="F241" s="4">
        <v>68</v>
      </c>
      <c r="G241" s="5">
        <v>4.3600000000000003</v>
      </c>
      <c r="H241" s="4">
        <v>0</v>
      </c>
    </row>
    <row r="242" spans="1:8" x14ac:dyDescent="0.2">
      <c r="A242" s="1" t="s">
        <v>15</v>
      </c>
      <c r="B242" s="4">
        <v>1820</v>
      </c>
      <c r="C242" s="5">
        <v>99.99</v>
      </c>
      <c r="D242" s="4">
        <v>919</v>
      </c>
      <c r="E242" s="5">
        <v>100.01</v>
      </c>
      <c r="F242" s="4">
        <v>891</v>
      </c>
      <c r="G242" s="5">
        <v>100.00999999999999</v>
      </c>
      <c r="H242" s="4">
        <v>3</v>
      </c>
    </row>
    <row r="243" spans="1:8" x14ac:dyDescent="0.2">
      <c r="A243" s="2" t="s">
        <v>61</v>
      </c>
      <c r="B243" s="4">
        <v>1</v>
      </c>
      <c r="C243" s="5">
        <v>0.05</v>
      </c>
      <c r="D243" s="4">
        <v>0</v>
      </c>
      <c r="E243" s="5">
        <v>0</v>
      </c>
      <c r="F243" s="4">
        <v>1</v>
      </c>
      <c r="G243" s="5">
        <v>0.11</v>
      </c>
      <c r="H243" s="4">
        <v>0</v>
      </c>
    </row>
    <row r="244" spans="1:8" x14ac:dyDescent="0.2">
      <c r="A244" s="2" t="s">
        <v>62</v>
      </c>
      <c r="B244" s="4">
        <v>261</v>
      </c>
      <c r="C244" s="5">
        <v>14.34</v>
      </c>
      <c r="D244" s="4">
        <v>68</v>
      </c>
      <c r="E244" s="5">
        <v>7.4</v>
      </c>
      <c r="F244" s="4">
        <v>192</v>
      </c>
      <c r="G244" s="5">
        <v>21.55</v>
      </c>
      <c r="H244" s="4">
        <v>1</v>
      </c>
    </row>
    <row r="245" spans="1:8" x14ac:dyDescent="0.2">
      <c r="A245" s="2" t="s">
        <v>63</v>
      </c>
      <c r="B245" s="4">
        <v>91</v>
      </c>
      <c r="C245" s="5">
        <v>5</v>
      </c>
      <c r="D245" s="4">
        <v>23</v>
      </c>
      <c r="E245" s="5">
        <v>2.5</v>
      </c>
      <c r="F245" s="4">
        <v>68</v>
      </c>
      <c r="G245" s="5">
        <v>7.63</v>
      </c>
      <c r="H245" s="4">
        <v>0</v>
      </c>
    </row>
    <row r="246" spans="1:8" x14ac:dyDescent="0.2">
      <c r="A246" s="2" t="s">
        <v>64</v>
      </c>
      <c r="B246" s="4">
        <v>7</v>
      </c>
      <c r="C246" s="5">
        <v>0.38</v>
      </c>
      <c r="D246" s="4">
        <v>0</v>
      </c>
      <c r="E246" s="5">
        <v>0</v>
      </c>
      <c r="F246" s="4">
        <v>6</v>
      </c>
      <c r="G246" s="5">
        <v>0.67</v>
      </c>
      <c r="H246" s="4">
        <v>0</v>
      </c>
    </row>
    <row r="247" spans="1:8" x14ac:dyDescent="0.2">
      <c r="A247" s="2" t="s">
        <v>65</v>
      </c>
      <c r="B247" s="4">
        <v>18</v>
      </c>
      <c r="C247" s="5">
        <v>0.99</v>
      </c>
      <c r="D247" s="4">
        <v>1</v>
      </c>
      <c r="E247" s="5">
        <v>0.11</v>
      </c>
      <c r="F247" s="4">
        <v>17</v>
      </c>
      <c r="G247" s="5">
        <v>1.91</v>
      </c>
      <c r="H247" s="4">
        <v>0</v>
      </c>
    </row>
    <row r="248" spans="1:8" x14ac:dyDescent="0.2">
      <c r="A248" s="2" t="s">
        <v>66</v>
      </c>
      <c r="B248" s="4">
        <v>10</v>
      </c>
      <c r="C248" s="5">
        <v>0.55000000000000004</v>
      </c>
      <c r="D248" s="4">
        <v>3</v>
      </c>
      <c r="E248" s="5">
        <v>0.33</v>
      </c>
      <c r="F248" s="4">
        <v>7</v>
      </c>
      <c r="G248" s="5">
        <v>0.79</v>
      </c>
      <c r="H248" s="4">
        <v>0</v>
      </c>
    </row>
    <row r="249" spans="1:8" x14ac:dyDescent="0.2">
      <c r="A249" s="2" t="s">
        <v>67</v>
      </c>
      <c r="B249" s="4">
        <v>411</v>
      </c>
      <c r="C249" s="5">
        <v>22.58</v>
      </c>
      <c r="D249" s="4">
        <v>181</v>
      </c>
      <c r="E249" s="5">
        <v>19.7</v>
      </c>
      <c r="F249" s="4">
        <v>230</v>
      </c>
      <c r="G249" s="5">
        <v>25.81</v>
      </c>
      <c r="H249" s="4">
        <v>0</v>
      </c>
    </row>
    <row r="250" spans="1:8" x14ac:dyDescent="0.2">
      <c r="A250" s="2" t="s">
        <v>68</v>
      </c>
      <c r="B250" s="4">
        <v>20</v>
      </c>
      <c r="C250" s="5">
        <v>1.1000000000000001</v>
      </c>
      <c r="D250" s="4">
        <v>4</v>
      </c>
      <c r="E250" s="5">
        <v>0.44</v>
      </c>
      <c r="F250" s="4">
        <v>16</v>
      </c>
      <c r="G250" s="5">
        <v>1.8</v>
      </c>
      <c r="H250" s="4">
        <v>0</v>
      </c>
    </row>
    <row r="251" spans="1:8" x14ac:dyDescent="0.2">
      <c r="A251" s="2" t="s">
        <v>69</v>
      </c>
      <c r="B251" s="4">
        <v>142</v>
      </c>
      <c r="C251" s="5">
        <v>7.8</v>
      </c>
      <c r="D251" s="4">
        <v>7</v>
      </c>
      <c r="E251" s="5">
        <v>0.76</v>
      </c>
      <c r="F251" s="4">
        <v>135</v>
      </c>
      <c r="G251" s="5">
        <v>15.15</v>
      </c>
      <c r="H251" s="4">
        <v>0</v>
      </c>
    </row>
    <row r="252" spans="1:8" x14ac:dyDescent="0.2">
      <c r="A252" s="2" t="s">
        <v>70</v>
      </c>
      <c r="B252" s="4">
        <v>85</v>
      </c>
      <c r="C252" s="5">
        <v>4.67</v>
      </c>
      <c r="D252" s="4">
        <v>39</v>
      </c>
      <c r="E252" s="5">
        <v>4.24</v>
      </c>
      <c r="F252" s="4">
        <v>45</v>
      </c>
      <c r="G252" s="5">
        <v>5.05</v>
      </c>
      <c r="H252" s="4">
        <v>1</v>
      </c>
    </row>
    <row r="253" spans="1:8" x14ac:dyDescent="0.2">
      <c r="A253" s="2" t="s">
        <v>71</v>
      </c>
      <c r="B253" s="4">
        <v>242</v>
      </c>
      <c r="C253" s="5">
        <v>13.3</v>
      </c>
      <c r="D253" s="4">
        <v>203</v>
      </c>
      <c r="E253" s="5">
        <v>22.09</v>
      </c>
      <c r="F253" s="4">
        <v>39</v>
      </c>
      <c r="G253" s="5">
        <v>4.38</v>
      </c>
      <c r="H253" s="4">
        <v>0</v>
      </c>
    </row>
    <row r="254" spans="1:8" x14ac:dyDescent="0.2">
      <c r="A254" s="2" t="s">
        <v>72</v>
      </c>
      <c r="B254" s="4">
        <v>311</v>
      </c>
      <c r="C254" s="5">
        <v>17.09</v>
      </c>
      <c r="D254" s="4">
        <v>252</v>
      </c>
      <c r="E254" s="5">
        <v>27.42</v>
      </c>
      <c r="F254" s="4">
        <v>58</v>
      </c>
      <c r="G254" s="5">
        <v>6.51</v>
      </c>
      <c r="H254" s="4">
        <v>0</v>
      </c>
    </row>
    <row r="255" spans="1:8" x14ac:dyDescent="0.2">
      <c r="A255" s="2" t="s">
        <v>73</v>
      </c>
      <c r="B255" s="4">
        <v>58</v>
      </c>
      <c r="C255" s="5">
        <v>3.19</v>
      </c>
      <c r="D255" s="4">
        <v>35</v>
      </c>
      <c r="E255" s="5">
        <v>3.81</v>
      </c>
      <c r="F255" s="4">
        <v>18</v>
      </c>
      <c r="G255" s="5">
        <v>2.02</v>
      </c>
      <c r="H255" s="4">
        <v>0</v>
      </c>
    </row>
    <row r="256" spans="1:8" x14ac:dyDescent="0.2">
      <c r="A256" s="2" t="s">
        <v>74</v>
      </c>
      <c r="B256" s="4">
        <v>100</v>
      </c>
      <c r="C256" s="5">
        <v>5.49</v>
      </c>
      <c r="D256" s="4">
        <v>74</v>
      </c>
      <c r="E256" s="5">
        <v>8.0500000000000007</v>
      </c>
      <c r="F256" s="4">
        <v>25</v>
      </c>
      <c r="G256" s="5">
        <v>2.81</v>
      </c>
      <c r="H256" s="4">
        <v>1</v>
      </c>
    </row>
    <row r="257" spans="1:8" x14ac:dyDescent="0.2">
      <c r="A257" s="2" t="s">
        <v>75</v>
      </c>
      <c r="B257" s="4">
        <v>63</v>
      </c>
      <c r="C257" s="5">
        <v>3.46</v>
      </c>
      <c r="D257" s="4">
        <v>29</v>
      </c>
      <c r="E257" s="5">
        <v>3.16</v>
      </c>
      <c r="F257" s="4">
        <v>34</v>
      </c>
      <c r="G257" s="5">
        <v>3.82</v>
      </c>
      <c r="H257" s="4">
        <v>0</v>
      </c>
    </row>
    <row r="258" spans="1:8" x14ac:dyDescent="0.2">
      <c r="A258" s="1" t="s">
        <v>16</v>
      </c>
      <c r="B258" s="4">
        <v>2534</v>
      </c>
      <c r="C258" s="5">
        <v>100.01</v>
      </c>
      <c r="D258" s="4">
        <v>898</v>
      </c>
      <c r="E258" s="5">
        <v>100.01000000000002</v>
      </c>
      <c r="F258" s="4">
        <v>1598</v>
      </c>
      <c r="G258" s="5">
        <v>99.999999999999972</v>
      </c>
      <c r="H258" s="4">
        <v>3</v>
      </c>
    </row>
    <row r="259" spans="1:8" x14ac:dyDescent="0.2">
      <c r="A259" s="2" t="s">
        <v>61</v>
      </c>
      <c r="B259" s="4">
        <v>1</v>
      </c>
      <c r="C259" s="5">
        <v>0.04</v>
      </c>
      <c r="D259" s="4">
        <v>0</v>
      </c>
      <c r="E259" s="5">
        <v>0</v>
      </c>
      <c r="F259" s="4">
        <v>1</v>
      </c>
      <c r="G259" s="5">
        <v>0.06</v>
      </c>
      <c r="H259" s="4">
        <v>0</v>
      </c>
    </row>
    <row r="260" spans="1:8" x14ac:dyDescent="0.2">
      <c r="A260" s="2" t="s">
        <v>62</v>
      </c>
      <c r="B260" s="4">
        <v>346</v>
      </c>
      <c r="C260" s="5">
        <v>13.65</v>
      </c>
      <c r="D260" s="4">
        <v>72</v>
      </c>
      <c r="E260" s="5">
        <v>8.02</v>
      </c>
      <c r="F260" s="4">
        <v>274</v>
      </c>
      <c r="G260" s="5">
        <v>17.149999999999999</v>
      </c>
      <c r="H260" s="4">
        <v>0</v>
      </c>
    </row>
    <row r="261" spans="1:8" x14ac:dyDescent="0.2">
      <c r="A261" s="2" t="s">
        <v>63</v>
      </c>
      <c r="B261" s="4">
        <v>137</v>
      </c>
      <c r="C261" s="5">
        <v>5.41</v>
      </c>
      <c r="D261" s="4">
        <v>28</v>
      </c>
      <c r="E261" s="5">
        <v>3.12</v>
      </c>
      <c r="F261" s="4">
        <v>109</v>
      </c>
      <c r="G261" s="5">
        <v>6.82</v>
      </c>
      <c r="H261" s="4">
        <v>0</v>
      </c>
    </row>
    <row r="262" spans="1:8" x14ac:dyDescent="0.2">
      <c r="A262" s="2" t="s">
        <v>64</v>
      </c>
      <c r="B262" s="4">
        <v>7</v>
      </c>
      <c r="C262" s="5">
        <v>0.28000000000000003</v>
      </c>
      <c r="D262" s="4">
        <v>0</v>
      </c>
      <c r="E262" s="5">
        <v>0</v>
      </c>
      <c r="F262" s="4">
        <v>7</v>
      </c>
      <c r="G262" s="5">
        <v>0.44</v>
      </c>
      <c r="H262" s="4">
        <v>0</v>
      </c>
    </row>
    <row r="263" spans="1:8" x14ac:dyDescent="0.2">
      <c r="A263" s="2" t="s">
        <v>65</v>
      </c>
      <c r="B263" s="4">
        <v>24</v>
      </c>
      <c r="C263" s="5">
        <v>0.95</v>
      </c>
      <c r="D263" s="4">
        <v>0</v>
      </c>
      <c r="E263" s="5">
        <v>0</v>
      </c>
      <c r="F263" s="4">
        <v>24</v>
      </c>
      <c r="G263" s="5">
        <v>1.5</v>
      </c>
      <c r="H263" s="4">
        <v>0</v>
      </c>
    </row>
    <row r="264" spans="1:8" x14ac:dyDescent="0.2">
      <c r="A264" s="2" t="s">
        <v>66</v>
      </c>
      <c r="B264" s="4">
        <v>109</v>
      </c>
      <c r="C264" s="5">
        <v>4.3</v>
      </c>
      <c r="D264" s="4">
        <v>0</v>
      </c>
      <c r="E264" s="5">
        <v>0</v>
      </c>
      <c r="F264" s="4">
        <v>109</v>
      </c>
      <c r="G264" s="5">
        <v>6.82</v>
      </c>
      <c r="H264" s="4">
        <v>0</v>
      </c>
    </row>
    <row r="265" spans="1:8" x14ac:dyDescent="0.2">
      <c r="A265" s="2" t="s">
        <v>67</v>
      </c>
      <c r="B265" s="4">
        <v>589</v>
      </c>
      <c r="C265" s="5">
        <v>23.24</v>
      </c>
      <c r="D265" s="4">
        <v>137</v>
      </c>
      <c r="E265" s="5">
        <v>15.26</v>
      </c>
      <c r="F265" s="4">
        <v>451</v>
      </c>
      <c r="G265" s="5">
        <v>28.22</v>
      </c>
      <c r="H265" s="4">
        <v>1</v>
      </c>
    </row>
    <row r="266" spans="1:8" x14ac:dyDescent="0.2">
      <c r="A266" s="2" t="s">
        <v>68</v>
      </c>
      <c r="B266" s="4">
        <v>23</v>
      </c>
      <c r="C266" s="5">
        <v>0.91</v>
      </c>
      <c r="D266" s="4">
        <v>5</v>
      </c>
      <c r="E266" s="5">
        <v>0.56000000000000005</v>
      </c>
      <c r="F266" s="4">
        <v>18</v>
      </c>
      <c r="G266" s="5">
        <v>1.1299999999999999</v>
      </c>
      <c r="H266" s="4">
        <v>0</v>
      </c>
    </row>
    <row r="267" spans="1:8" x14ac:dyDescent="0.2">
      <c r="A267" s="2" t="s">
        <v>69</v>
      </c>
      <c r="B267" s="4">
        <v>246</v>
      </c>
      <c r="C267" s="5">
        <v>9.7100000000000009</v>
      </c>
      <c r="D267" s="4">
        <v>38</v>
      </c>
      <c r="E267" s="5">
        <v>4.2300000000000004</v>
      </c>
      <c r="F267" s="4">
        <v>206</v>
      </c>
      <c r="G267" s="5">
        <v>12.89</v>
      </c>
      <c r="H267" s="4">
        <v>2</v>
      </c>
    </row>
    <row r="268" spans="1:8" x14ac:dyDescent="0.2">
      <c r="A268" s="2" t="s">
        <v>70</v>
      </c>
      <c r="B268" s="4">
        <v>112</v>
      </c>
      <c r="C268" s="5">
        <v>4.42</v>
      </c>
      <c r="D268" s="4">
        <v>47</v>
      </c>
      <c r="E268" s="5">
        <v>5.23</v>
      </c>
      <c r="F268" s="4">
        <v>65</v>
      </c>
      <c r="G268" s="5">
        <v>4.07</v>
      </c>
      <c r="H268" s="4">
        <v>0</v>
      </c>
    </row>
    <row r="269" spans="1:8" x14ac:dyDescent="0.2">
      <c r="A269" s="2" t="s">
        <v>71</v>
      </c>
      <c r="B269" s="4">
        <v>297</v>
      </c>
      <c r="C269" s="5">
        <v>11.72</v>
      </c>
      <c r="D269" s="4">
        <v>194</v>
      </c>
      <c r="E269" s="5">
        <v>21.6</v>
      </c>
      <c r="F269" s="4">
        <v>97</v>
      </c>
      <c r="G269" s="5">
        <v>6.07</v>
      </c>
      <c r="H269" s="4">
        <v>0</v>
      </c>
    </row>
    <row r="270" spans="1:8" x14ac:dyDescent="0.2">
      <c r="A270" s="2" t="s">
        <v>72</v>
      </c>
      <c r="B270" s="4">
        <v>332</v>
      </c>
      <c r="C270" s="5">
        <v>13.1</v>
      </c>
      <c r="D270" s="4">
        <v>231</v>
      </c>
      <c r="E270" s="5">
        <v>25.72</v>
      </c>
      <c r="F270" s="4">
        <v>95</v>
      </c>
      <c r="G270" s="5">
        <v>5.94</v>
      </c>
      <c r="H270" s="4">
        <v>0</v>
      </c>
    </row>
    <row r="271" spans="1:8" x14ac:dyDescent="0.2">
      <c r="A271" s="2" t="s">
        <v>73</v>
      </c>
      <c r="B271" s="4">
        <v>91</v>
      </c>
      <c r="C271" s="5">
        <v>3.59</v>
      </c>
      <c r="D271" s="4">
        <v>42</v>
      </c>
      <c r="E271" s="5">
        <v>4.68</v>
      </c>
      <c r="F271" s="4">
        <v>34</v>
      </c>
      <c r="G271" s="5">
        <v>2.13</v>
      </c>
      <c r="H271" s="4">
        <v>0</v>
      </c>
    </row>
    <row r="272" spans="1:8" x14ac:dyDescent="0.2">
      <c r="A272" s="2" t="s">
        <v>74</v>
      </c>
      <c r="B272" s="4">
        <v>119</v>
      </c>
      <c r="C272" s="5">
        <v>4.7</v>
      </c>
      <c r="D272" s="4">
        <v>78</v>
      </c>
      <c r="E272" s="5">
        <v>8.69</v>
      </c>
      <c r="F272" s="4">
        <v>37</v>
      </c>
      <c r="G272" s="5">
        <v>2.3199999999999998</v>
      </c>
      <c r="H272" s="4">
        <v>0</v>
      </c>
    </row>
    <row r="273" spans="1:8" x14ac:dyDescent="0.2">
      <c r="A273" s="2" t="s">
        <v>75</v>
      </c>
      <c r="B273" s="4">
        <v>101</v>
      </c>
      <c r="C273" s="5">
        <v>3.99</v>
      </c>
      <c r="D273" s="4">
        <v>26</v>
      </c>
      <c r="E273" s="5">
        <v>2.9</v>
      </c>
      <c r="F273" s="4">
        <v>71</v>
      </c>
      <c r="G273" s="5">
        <v>4.4400000000000004</v>
      </c>
      <c r="H273" s="4">
        <v>0</v>
      </c>
    </row>
    <row r="274" spans="1:8" x14ac:dyDescent="0.2">
      <c r="A274" s="1" t="s">
        <v>17</v>
      </c>
      <c r="B274" s="4">
        <v>2463</v>
      </c>
      <c r="C274" s="5">
        <v>99.98</v>
      </c>
      <c r="D274" s="4">
        <v>1022</v>
      </c>
      <c r="E274" s="5">
        <v>100.01</v>
      </c>
      <c r="F274" s="4">
        <v>1432</v>
      </c>
      <c r="G274" s="5">
        <v>99.990000000000009</v>
      </c>
      <c r="H274" s="4">
        <v>1</v>
      </c>
    </row>
    <row r="275" spans="1:8" x14ac:dyDescent="0.2">
      <c r="A275" s="2" t="s">
        <v>61</v>
      </c>
      <c r="B275" s="4">
        <v>1</v>
      </c>
      <c r="C275" s="5">
        <v>0.04</v>
      </c>
      <c r="D275" s="4">
        <v>0</v>
      </c>
      <c r="E275" s="5">
        <v>0</v>
      </c>
      <c r="F275" s="4">
        <v>1</v>
      </c>
      <c r="G275" s="5">
        <v>7.0000000000000007E-2</v>
      </c>
      <c r="H275" s="4">
        <v>0</v>
      </c>
    </row>
    <row r="276" spans="1:8" x14ac:dyDescent="0.2">
      <c r="A276" s="2" t="s">
        <v>62</v>
      </c>
      <c r="B276" s="4">
        <v>340</v>
      </c>
      <c r="C276" s="5">
        <v>13.8</v>
      </c>
      <c r="D276" s="4">
        <v>59</v>
      </c>
      <c r="E276" s="5">
        <v>5.77</v>
      </c>
      <c r="F276" s="4">
        <v>281</v>
      </c>
      <c r="G276" s="5">
        <v>19.62</v>
      </c>
      <c r="H276" s="4">
        <v>0</v>
      </c>
    </row>
    <row r="277" spans="1:8" x14ac:dyDescent="0.2">
      <c r="A277" s="2" t="s">
        <v>63</v>
      </c>
      <c r="B277" s="4">
        <v>125</v>
      </c>
      <c r="C277" s="5">
        <v>5.08</v>
      </c>
      <c r="D277" s="4">
        <v>24</v>
      </c>
      <c r="E277" s="5">
        <v>2.35</v>
      </c>
      <c r="F277" s="4">
        <v>101</v>
      </c>
      <c r="G277" s="5">
        <v>7.05</v>
      </c>
      <c r="H277" s="4">
        <v>0</v>
      </c>
    </row>
    <row r="278" spans="1:8" x14ac:dyDescent="0.2">
      <c r="A278" s="2" t="s">
        <v>64</v>
      </c>
      <c r="B278" s="4">
        <v>8</v>
      </c>
      <c r="C278" s="5">
        <v>0.32</v>
      </c>
      <c r="D278" s="4">
        <v>0</v>
      </c>
      <c r="E278" s="5">
        <v>0</v>
      </c>
      <c r="F278" s="4">
        <v>8</v>
      </c>
      <c r="G278" s="5">
        <v>0.56000000000000005</v>
      </c>
      <c r="H278" s="4">
        <v>0</v>
      </c>
    </row>
    <row r="279" spans="1:8" x14ac:dyDescent="0.2">
      <c r="A279" s="2" t="s">
        <v>65</v>
      </c>
      <c r="B279" s="4">
        <v>39</v>
      </c>
      <c r="C279" s="5">
        <v>1.58</v>
      </c>
      <c r="D279" s="4">
        <v>0</v>
      </c>
      <c r="E279" s="5">
        <v>0</v>
      </c>
      <c r="F279" s="4">
        <v>39</v>
      </c>
      <c r="G279" s="5">
        <v>2.72</v>
      </c>
      <c r="H279" s="4">
        <v>0</v>
      </c>
    </row>
    <row r="280" spans="1:8" x14ac:dyDescent="0.2">
      <c r="A280" s="2" t="s">
        <v>66</v>
      </c>
      <c r="B280" s="4">
        <v>20</v>
      </c>
      <c r="C280" s="5">
        <v>0.81</v>
      </c>
      <c r="D280" s="4">
        <v>2</v>
      </c>
      <c r="E280" s="5">
        <v>0.2</v>
      </c>
      <c r="F280" s="4">
        <v>18</v>
      </c>
      <c r="G280" s="5">
        <v>1.26</v>
      </c>
      <c r="H280" s="4">
        <v>0</v>
      </c>
    </row>
    <row r="281" spans="1:8" x14ac:dyDescent="0.2">
      <c r="A281" s="2" t="s">
        <v>67</v>
      </c>
      <c r="B281" s="4">
        <v>520</v>
      </c>
      <c r="C281" s="5">
        <v>21.11</v>
      </c>
      <c r="D281" s="4">
        <v>160</v>
      </c>
      <c r="E281" s="5">
        <v>15.66</v>
      </c>
      <c r="F281" s="4">
        <v>359</v>
      </c>
      <c r="G281" s="5">
        <v>25.07</v>
      </c>
      <c r="H281" s="4">
        <v>1</v>
      </c>
    </row>
    <row r="282" spans="1:8" x14ac:dyDescent="0.2">
      <c r="A282" s="2" t="s">
        <v>68</v>
      </c>
      <c r="B282" s="4">
        <v>20</v>
      </c>
      <c r="C282" s="5">
        <v>0.81</v>
      </c>
      <c r="D282" s="4">
        <v>4</v>
      </c>
      <c r="E282" s="5">
        <v>0.39</v>
      </c>
      <c r="F282" s="4">
        <v>15</v>
      </c>
      <c r="G282" s="5">
        <v>1.05</v>
      </c>
      <c r="H282" s="4">
        <v>0</v>
      </c>
    </row>
    <row r="283" spans="1:8" x14ac:dyDescent="0.2">
      <c r="A283" s="2" t="s">
        <v>69</v>
      </c>
      <c r="B283" s="4">
        <v>206</v>
      </c>
      <c r="C283" s="5">
        <v>8.36</v>
      </c>
      <c r="D283" s="4">
        <v>27</v>
      </c>
      <c r="E283" s="5">
        <v>2.64</v>
      </c>
      <c r="F283" s="4">
        <v>178</v>
      </c>
      <c r="G283" s="5">
        <v>12.43</v>
      </c>
      <c r="H283" s="4">
        <v>0</v>
      </c>
    </row>
    <row r="284" spans="1:8" x14ac:dyDescent="0.2">
      <c r="A284" s="2" t="s">
        <v>70</v>
      </c>
      <c r="B284" s="4">
        <v>184</v>
      </c>
      <c r="C284" s="5">
        <v>7.47</v>
      </c>
      <c r="D284" s="4">
        <v>88</v>
      </c>
      <c r="E284" s="5">
        <v>8.61</v>
      </c>
      <c r="F284" s="4">
        <v>96</v>
      </c>
      <c r="G284" s="5">
        <v>6.7</v>
      </c>
      <c r="H284" s="4">
        <v>0</v>
      </c>
    </row>
    <row r="285" spans="1:8" x14ac:dyDescent="0.2">
      <c r="A285" s="2" t="s">
        <v>71</v>
      </c>
      <c r="B285" s="4">
        <v>274</v>
      </c>
      <c r="C285" s="5">
        <v>11.12</v>
      </c>
      <c r="D285" s="4">
        <v>202</v>
      </c>
      <c r="E285" s="5">
        <v>19.77</v>
      </c>
      <c r="F285" s="4">
        <v>72</v>
      </c>
      <c r="G285" s="5">
        <v>5.03</v>
      </c>
      <c r="H285" s="4">
        <v>0</v>
      </c>
    </row>
    <row r="286" spans="1:8" x14ac:dyDescent="0.2">
      <c r="A286" s="2" t="s">
        <v>72</v>
      </c>
      <c r="B286" s="4">
        <v>362</v>
      </c>
      <c r="C286" s="5">
        <v>14.7</v>
      </c>
      <c r="D286" s="4">
        <v>260</v>
      </c>
      <c r="E286" s="5">
        <v>25.44</v>
      </c>
      <c r="F286" s="4">
        <v>102</v>
      </c>
      <c r="G286" s="5">
        <v>7.12</v>
      </c>
      <c r="H286" s="4">
        <v>0</v>
      </c>
    </row>
    <row r="287" spans="1:8" x14ac:dyDescent="0.2">
      <c r="A287" s="2" t="s">
        <v>73</v>
      </c>
      <c r="B287" s="4">
        <v>122</v>
      </c>
      <c r="C287" s="5">
        <v>4.95</v>
      </c>
      <c r="D287" s="4">
        <v>80</v>
      </c>
      <c r="E287" s="5">
        <v>7.83</v>
      </c>
      <c r="F287" s="4">
        <v>39</v>
      </c>
      <c r="G287" s="5">
        <v>2.72</v>
      </c>
      <c r="H287" s="4">
        <v>0</v>
      </c>
    </row>
    <row r="288" spans="1:8" x14ac:dyDescent="0.2">
      <c r="A288" s="2" t="s">
        <v>74</v>
      </c>
      <c r="B288" s="4">
        <v>144</v>
      </c>
      <c r="C288" s="5">
        <v>5.85</v>
      </c>
      <c r="D288" s="4">
        <v>87</v>
      </c>
      <c r="E288" s="5">
        <v>8.51</v>
      </c>
      <c r="F288" s="4">
        <v>56</v>
      </c>
      <c r="G288" s="5">
        <v>3.91</v>
      </c>
      <c r="H288" s="4">
        <v>0</v>
      </c>
    </row>
    <row r="289" spans="1:8" x14ac:dyDescent="0.2">
      <c r="A289" s="2" t="s">
        <v>75</v>
      </c>
      <c r="B289" s="4">
        <v>98</v>
      </c>
      <c r="C289" s="5">
        <v>3.98</v>
      </c>
      <c r="D289" s="4">
        <v>29</v>
      </c>
      <c r="E289" s="5">
        <v>2.84</v>
      </c>
      <c r="F289" s="4">
        <v>67</v>
      </c>
      <c r="G289" s="5">
        <v>4.68</v>
      </c>
      <c r="H289" s="4">
        <v>0</v>
      </c>
    </row>
    <row r="290" spans="1:8" x14ac:dyDescent="0.2">
      <c r="A290" s="1" t="s">
        <v>18</v>
      </c>
      <c r="B290" s="4">
        <v>1306</v>
      </c>
      <c r="C290" s="5">
        <v>100</v>
      </c>
      <c r="D290" s="4">
        <v>621</v>
      </c>
      <c r="E290" s="5">
        <v>100</v>
      </c>
      <c r="F290" s="4">
        <v>662</v>
      </c>
      <c r="G290" s="5">
        <v>99.999999999999986</v>
      </c>
      <c r="H290" s="4">
        <v>1</v>
      </c>
    </row>
    <row r="291" spans="1:8" x14ac:dyDescent="0.2">
      <c r="A291" s="2" t="s">
        <v>61</v>
      </c>
      <c r="B291" s="4">
        <v>1</v>
      </c>
      <c r="C291" s="5">
        <v>0.08</v>
      </c>
      <c r="D291" s="4">
        <v>0</v>
      </c>
      <c r="E291" s="5">
        <v>0</v>
      </c>
      <c r="F291" s="4">
        <v>1</v>
      </c>
      <c r="G291" s="5">
        <v>0.15</v>
      </c>
      <c r="H291" s="4">
        <v>0</v>
      </c>
    </row>
    <row r="292" spans="1:8" x14ac:dyDescent="0.2">
      <c r="A292" s="2" t="s">
        <v>62</v>
      </c>
      <c r="B292" s="4">
        <v>230</v>
      </c>
      <c r="C292" s="5">
        <v>17.61</v>
      </c>
      <c r="D292" s="4">
        <v>56</v>
      </c>
      <c r="E292" s="5">
        <v>9.02</v>
      </c>
      <c r="F292" s="4">
        <v>174</v>
      </c>
      <c r="G292" s="5">
        <v>26.28</v>
      </c>
      <c r="H292" s="4">
        <v>0</v>
      </c>
    </row>
    <row r="293" spans="1:8" x14ac:dyDescent="0.2">
      <c r="A293" s="2" t="s">
        <v>63</v>
      </c>
      <c r="B293" s="4">
        <v>83</v>
      </c>
      <c r="C293" s="5">
        <v>6.36</v>
      </c>
      <c r="D293" s="4">
        <v>26</v>
      </c>
      <c r="E293" s="5">
        <v>4.1900000000000004</v>
      </c>
      <c r="F293" s="4">
        <v>57</v>
      </c>
      <c r="G293" s="5">
        <v>8.61</v>
      </c>
      <c r="H293" s="4">
        <v>0</v>
      </c>
    </row>
    <row r="294" spans="1:8" x14ac:dyDescent="0.2">
      <c r="A294" s="2" t="s">
        <v>64</v>
      </c>
      <c r="B294" s="4">
        <v>2</v>
      </c>
      <c r="C294" s="5">
        <v>0.15</v>
      </c>
      <c r="D294" s="4">
        <v>0</v>
      </c>
      <c r="E294" s="5">
        <v>0</v>
      </c>
      <c r="F294" s="4">
        <v>2</v>
      </c>
      <c r="G294" s="5">
        <v>0.3</v>
      </c>
      <c r="H294" s="4">
        <v>0</v>
      </c>
    </row>
    <row r="295" spans="1:8" x14ac:dyDescent="0.2">
      <c r="A295" s="2" t="s">
        <v>65</v>
      </c>
      <c r="B295" s="4">
        <v>11</v>
      </c>
      <c r="C295" s="5">
        <v>0.84</v>
      </c>
      <c r="D295" s="4">
        <v>0</v>
      </c>
      <c r="E295" s="5">
        <v>0</v>
      </c>
      <c r="F295" s="4">
        <v>11</v>
      </c>
      <c r="G295" s="5">
        <v>1.66</v>
      </c>
      <c r="H295" s="4">
        <v>0</v>
      </c>
    </row>
    <row r="296" spans="1:8" x14ac:dyDescent="0.2">
      <c r="A296" s="2" t="s">
        <v>66</v>
      </c>
      <c r="B296" s="4">
        <v>9</v>
      </c>
      <c r="C296" s="5">
        <v>0.69</v>
      </c>
      <c r="D296" s="4">
        <v>2</v>
      </c>
      <c r="E296" s="5">
        <v>0.32</v>
      </c>
      <c r="F296" s="4">
        <v>7</v>
      </c>
      <c r="G296" s="5">
        <v>1.06</v>
      </c>
      <c r="H296" s="4">
        <v>0</v>
      </c>
    </row>
    <row r="297" spans="1:8" x14ac:dyDescent="0.2">
      <c r="A297" s="2" t="s">
        <v>67</v>
      </c>
      <c r="B297" s="4">
        <v>262</v>
      </c>
      <c r="C297" s="5">
        <v>20.059999999999999</v>
      </c>
      <c r="D297" s="4">
        <v>101</v>
      </c>
      <c r="E297" s="5">
        <v>16.260000000000002</v>
      </c>
      <c r="F297" s="4">
        <v>160</v>
      </c>
      <c r="G297" s="5">
        <v>24.17</v>
      </c>
      <c r="H297" s="4">
        <v>1</v>
      </c>
    </row>
    <row r="298" spans="1:8" x14ac:dyDescent="0.2">
      <c r="A298" s="2" t="s">
        <v>68</v>
      </c>
      <c r="B298" s="4">
        <v>13</v>
      </c>
      <c r="C298" s="5">
        <v>1</v>
      </c>
      <c r="D298" s="4">
        <v>4</v>
      </c>
      <c r="E298" s="5">
        <v>0.64</v>
      </c>
      <c r="F298" s="4">
        <v>9</v>
      </c>
      <c r="G298" s="5">
        <v>1.36</v>
      </c>
      <c r="H298" s="4">
        <v>0</v>
      </c>
    </row>
    <row r="299" spans="1:8" x14ac:dyDescent="0.2">
      <c r="A299" s="2" t="s">
        <v>69</v>
      </c>
      <c r="B299" s="4">
        <v>124</v>
      </c>
      <c r="C299" s="5">
        <v>9.49</v>
      </c>
      <c r="D299" s="4">
        <v>37</v>
      </c>
      <c r="E299" s="5">
        <v>5.96</v>
      </c>
      <c r="F299" s="4">
        <v>87</v>
      </c>
      <c r="G299" s="5">
        <v>13.14</v>
      </c>
      <c r="H299" s="4">
        <v>0</v>
      </c>
    </row>
    <row r="300" spans="1:8" x14ac:dyDescent="0.2">
      <c r="A300" s="2" t="s">
        <v>70</v>
      </c>
      <c r="B300" s="4">
        <v>50</v>
      </c>
      <c r="C300" s="5">
        <v>3.83</v>
      </c>
      <c r="D300" s="4">
        <v>32</v>
      </c>
      <c r="E300" s="5">
        <v>5.15</v>
      </c>
      <c r="F300" s="4">
        <v>18</v>
      </c>
      <c r="G300" s="5">
        <v>2.72</v>
      </c>
      <c r="H300" s="4">
        <v>0</v>
      </c>
    </row>
    <row r="301" spans="1:8" x14ac:dyDescent="0.2">
      <c r="A301" s="2" t="s">
        <v>71</v>
      </c>
      <c r="B301" s="4">
        <v>157</v>
      </c>
      <c r="C301" s="5">
        <v>12.02</v>
      </c>
      <c r="D301" s="4">
        <v>123</v>
      </c>
      <c r="E301" s="5">
        <v>19.809999999999999</v>
      </c>
      <c r="F301" s="4">
        <v>34</v>
      </c>
      <c r="G301" s="5">
        <v>5.14</v>
      </c>
      <c r="H301" s="4">
        <v>0</v>
      </c>
    </row>
    <row r="302" spans="1:8" x14ac:dyDescent="0.2">
      <c r="A302" s="2" t="s">
        <v>72</v>
      </c>
      <c r="B302" s="4">
        <v>176</v>
      </c>
      <c r="C302" s="5">
        <v>13.48</v>
      </c>
      <c r="D302" s="4">
        <v>135</v>
      </c>
      <c r="E302" s="5">
        <v>21.74</v>
      </c>
      <c r="F302" s="4">
        <v>41</v>
      </c>
      <c r="G302" s="5">
        <v>6.19</v>
      </c>
      <c r="H302" s="4">
        <v>0</v>
      </c>
    </row>
    <row r="303" spans="1:8" x14ac:dyDescent="0.2">
      <c r="A303" s="2" t="s">
        <v>73</v>
      </c>
      <c r="B303" s="4">
        <v>49</v>
      </c>
      <c r="C303" s="5">
        <v>3.75</v>
      </c>
      <c r="D303" s="4">
        <v>32</v>
      </c>
      <c r="E303" s="5">
        <v>5.15</v>
      </c>
      <c r="F303" s="4">
        <v>6</v>
      </c>
      <c r="G303" s="5">
        <v>0.91</v>
      </c>
      <c r="H303" s="4">
        <v>0</v>
      </c>
    </row>
    <row r="304" spans="1:8" x14ac:dyDescent="0.2">
      <c r="A304" s="2" t="s">
        <v>74</v>
      </c>
      <c r="B304" s="4">
        <v>67</v>
      </c>
      <c r="C304" s="5">
        <v>5.13</v>
      </c>
      <c r="D304" s="4">
        <v>38</v>
      </c>
      <c r="E304" s="5">
        <v>6.12</v>
      </c>
      <c r="F304" s="4">
        <v>19</v>
      </c>
      <c r="G304" s="5">
        <v>2.87</v>
      </c>
      <c r="H304" s="4">
        <v>0</v>
      </c>
    </row>
    <row r="305" spans="1:8" x14ac:dyDescent="0.2">
      <c r="A305" s="2" t="s">
        <v>75</v>
      </c>
      <c r="B305" s="4">
        <v>72</v>
      </c>
      <c r="C305" s="5">
        <v>5.51</v>
      </c>
      <c r="D305" s="4">
        <v>35</v>
      </c>
      <c r="E305" s="5">
        <v>5.64</v>
      </c>
      <c r="F305" s="4">
        <v>36</v>
      </c>
      <c r="G305" s="5">
        <v>5.44</v>
      </c>
      <c r="H305" s="4">
        <v>0</v>
      </c>
    </row>
    <row r="306" spans="1:8" x14ac:dyDescent="0.2">
      <c r="A306" s="1" t="s">
        <v>19</v>
      </c>
      <c r="B306" s="4">
        <v>1780</v>
      </c>
      <c r="C306" s="5">
        <v>100.01</v>
      </c>
      <c r="D306" s="4">
        <v>1133</v>
      </c>
      <c r="E306" s="5">
        <v>100.00999999999999</v>
      </c>
      <c r="F306" s="4">
        <v>618</v>
      </c>
      <c r="G306" s="5">
        <v>100.01</v>
      </c>
      <c r="H306" s="4">
        <v>3</v>
      </c>
    </row>
    <row r="307" spans="1:8" x14ac:dyDescent="0.2">
      <c r="A307" s="2" t="s">
        <v>61</v>
      </c>
      <c r="B307" s="4">
        <v>2</v>
      </c>
      <c r="C307" s="5">
        <v>0.11</v>
      </c>
      <c r="D307" s="4">
        <v>1</v>
      </c>
      <c r="E307" s="5">
        <v>0.09</v>
      </c>
      <c r="F307" s="4">
        <v>1</v>
      </c>
      <c r="G307" s="5">
        <v>0.16</v>
      </c>
      <c r="H307" s="4">
        <v>0</v>
      </c>
    </row>
    <row r="308" spans="1:8" x14ac:dyDescent="0.2">
      <c r="A308" s="2" t="s">
        <v>62</v>
      </c>
      <c r="B308" s="4">
        <v>351</v>
      </c>
      <c r="C308" s="5">
        <v>19.72</v>
      </c>
      <c r="D308" s="4">
        <v>173</v>
      </c>
      <c r="E308" s="5">
        <v>15.27</v>
      </c>
      <c r="F308" s="4">
        <v>178</v>
      </c>
      <c r="G308" s="5">
        <v>28.8</v>
      </c>
      <c r="H308" s="4">
        <v>0</v>
      </c>
    </row>
    <row r="309" spans="1:8" x14ac:dyDescent="0.2">
      <c r="A309" s="2" t="s">
        <v>63</v>
      </c>
      <c r="B309" s="4">
        <v>150</v>
      </c>
      <c r="C309" s="5">
        <v>8.43</v>
      </c>
      <c r="D309" s="4">
        <v>75</v>
      </c>
      <c r="E309" s="5">
        <v>6.62</v>
      </c>
      <c r="F309" s="4">
        <v>75</v>
      </c>
      <c r="G309" s="5">
        <v>12.14</v>
      </c>
      <c r="H309" s="4">
        <v>0</v>
      </c>
    </row>
    <row r="310" spans="1:8" x14ac:dyDescent="0.2">
      <c r="A310" s="2" t="s">
        <v>64</v>
      </c>
      <c r="B310" s="4">
        <v>3</v>
      </c>
      <c r="C310" s="5">
        <v>0.17</v>
      </c>
      <c r="D310" s="4">
        <v>0</v>
      </c>
      <c r="E310" s="5">
        <v>0</v>
      </c>
      <c r="F310" s="4">
        <v>3</v>
      </c>
      <c r="G310" s="5">
        <v>0.49</v>
      </c>
      <c r="H310" s="4">
        <v>0</v>
      </c>
    </row>
    <row r="311" spans="1:8" x14ac:dyDescent="0.2">
      <c r="A311" s="2" t="s">
        <v>65</v>
      </c>
      <c r="B311" s="4">
        <v>3</v>
      </c>
      <c r="C311" s="5">
        <v>0.17</v>
      </c>
      <c r="D311" s="4">
        <v>0</v>
      </c>
      <c r="E311" s="5">
        <v>0</v>
      </c>
      <c r="F311" s="4">
        <v>3</v>
      </c>
      <c r="G311" s="5">
        <v>0.49</v>
      </c>
      <c r="H311" s="4">
        <v>0</v>
      </c>
    </row>
    <row r="312" spans="1:8" x14ac:dyDescent="0.2">
      <c r="A312" s="2" t="s">
        <v>66</v>
      </c>
      <c r="B312" s="4">
        <v>19</v>
      </c>
      <c r="C312" s="5">
        <v>1.07</v>
      </c>
      <c r="D312" s="4">
        <v>7</v>
      </c>
      <c r="E312" s="5">
        <v>0.62</v>
      </c>
      <c r="F312" s="4">
        <v>11</v>
      </c>
      <c r="G312" s="5">
        <v>1.78</v>
      </c>
      <c r="H312" s="4">
        <v>1</v>
      </c>
    </row>
    <row r="313" spans="1:8" x14ac:dyDescent="0.2">
      <c r="A313" s="2" t="s">
        <v>67</v>
      </c>
      <c r="B313" s="4">
        <v>417</v>
      </c>
      <c r="C313" s="5">
        <v>23.43</v>
      </c>
      <c r="D313" s="4">
        <v>240</v>
      </c>
      <c r="E313" s="5">
        <v>21.18</v>
      </c>
      <c r="F313" s="4">
        <v>175</v>
      </c>
      <c r="G313" s="5">
        <v>28.32</v>
      </c>
      <c r="H313" s="4">
        <v>2</v>
      </c>
    </row>
    <row r="314" spans="1:8" x14ac:dyDescent="0.2">
      <c r="A314" s="2" t="s">
        <v>68</v>
      </c>
      <c r="B314" s="4">
        <v>14</v>
      </c>
      <c r="C314" s="5">
        <v>0.79</v>
      </c>
      <c r="D314" s="4">
        <v>3</v>
      </c>
      <c r="E314" s="5">
        <v>0.26</v>
      </c>
      <c r="F314" s="4">
        <v>11</v>
      </c>
      <c r="G314" s="5">
        <v>1.78</v>
      </c>
      <c r="H314" s="4">
        <v>0</v>
      </c>
    </row>
    <row r="315" spans="1:8" x14ac:dyDescent="0.2">
      <c r="A315" s="2" t="s">
        <v>69</v>
      </c>
      <c r="B315" s="4">
        <v>89</v>
      </c>
      <c r="C315" s="5">
        <v>5</v>
      </c>
      <c r="D315" s="4">
        <v>30</v>
      </c>
      <c r="E315" s="5">
        <v>2.65</v>
      </c>
      <c r="F315" s="4">
        <v>58</v>
      </c>
      <c r="G315" s="5">
        <v>9.39</v>
      </c>
      <c r="H315" s="4">
        <v>0</v>
      </c>
    </row>
    <row r="316" spans="1:8" x14ac:dyDescent="0.2">
      <c r="A316" s="2" t="s">
        <v>70</v>
      </c>
      <c r="B316" s="4">
        <v>47</v>
      </c>
      <c r="C316" s="5">
        <v>2.64</v>
      </c>
      <c r="D316" s="4">
        <v>35</v>
      </c>
      <c r="E316" s="5">
        <v>3.09</v>
      </c>
      <c r="F316" s="4">
        <v>11</v>
      </c>
      <c r="G316" s="5">
        <v>1.78</v>
      </c>
      <c r="H316" s="4">
        <v>0</v>
      </c>
    </row>
    <row r="317" spans="1:8" x14ac:dyDescent="0.2">
      <c r="A317" s="2" t="s">
        <v>71</v>
      </c>
      <c r="B317" s="4">
        <v>243</v>
      </c>
      <c r="C317" s="5">
        <v>13.65</v>
      </c>
      <c r="D317" s="4">
        <v>219</v>
      </c>
      <c r="E317" s="5">
        <v>19.329999999999998</v>
      </c>
      <c r="F317" s="4">
        <v>22</v>
      </c>
      <c r="G317" s="5">
        <v>3.56</v>
      </c>
      <c r="H317" s="4">
        <v>0</v>
      </c>
    </row>
    <row r="318" spans="1:8" x14ac:dyDescent="0.2">
      <c r="A318" s="2" t="s">
        <v>72</v>
      </c>
      <c r="B318" s="4">
        <v>232</v>
      </c>
      <c r="C318" s="5">
        <v>13.03</v>
      </c>
      <c r="D318" s="4">
        <v>208</v>
      </c>
      <c r="E318" s="5">
        <v>18.36</v>
      </c>
      <c r="F318" s="4">
        <v>22</v>
      </c>
      <c r="G318" s="5">
        <v>3.56</v>
      </c>
      <c r="H318" s="4">
        <v>0</v>
      </c>
    </row>
    <row r="319" spans="1:8" x14ac:dyDescent="0.2">
      <c r="A319" s="2" t="s">
        <v>73</v>
      </c>
      <c r="B319" s="4">
        <v>56</v>
      </c>
      <c r="C319" s="5">
        <v>3.15</v>
      </c>
      <c r="D319" s="4">
        <v>37</v>
      </c>
      <c r="E319" s="5">
        <v>3.27</v>
      </c>
      <c r="F319" s="4">
        <v>13</v>
      </c>
      <c r="G319" s="5">
        <v>2.1</v>
      </c>
      <c r="H319" s="4">
        <v>0</v>
      </c>
    </row>
    <row r="320" spans="1:8" x14ac:dyDescent="0.2">
      <c r="A320" s="2" t="s">
        <v>74</v>
      </c>
      <c r="B320" s="4">
        <v>79</v>
      </c>
      <c r="C320" s="5">
        <v>4.4400000000000004</v>
      </c>
      <c r="D320" s="4">
        <v>57</v>
      </c>
      <c r="E320" s="5">
        <v>5.03</v>
      </c>
      <c r="F320" s="4">
        <v>13</v>
      </c>
      <c r="G320" s="5">
        <v>2.1</v>
      </c>
      <c r="H320" s="4">
        <v>0</v>
      </c>
    </row>
    <row r="321" spans="1:8" x14ac:dyDescent="0.2">
      <c r="A321" s="2" t="s">
        <v>75</v>
      </c>
      <c r="B321" s="4">
        <v>75</v>
      </c>
      <c r="C321" s="5">
        <v>4.21</v>
      </c>
      <c r="D321" s="4">
        <v>48</v>
      </c>
      <c r="E321" s="5">
        <v>4.24</v>
      </c>
      <c r="F321" s="4">
        <v>22</v>
      </c>
      <c r="G321" s="5">
        <v>3.56</v>
      </c>
      <c r="H321" s="4">
        <v>0</v>
      </c>
    </row>
    <row r="322" spans="1:8" x14ac:dyDescent="0.2">
      <c r="A322" s="1" t="s">
        <v>20</v>
      </c>
      <c r="B322" s="4">
        <v>2048</v>
      </c>
      <c r="C322" s="5">
        <v>100</v>
      </c>
      <c r="D322" s="4">
        <v>844</v>
      </c>
      <c r="E322" s="5">
        <v>99.990000000000009</v>
      </c>
      <c r="F322" s="4">
        <v>1196</v>
      </c>
      <c r="G322" s="5">
        <v>100</v>
      </c>
      <c r="H322" s="4">
        <v>2</v>
      </c>
    </row>
    <row r="323" spans="1:8" x14ac:dyDescent="0.2">
      <c r="A323" s="2" t="s">
        <v>61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62</v>
      </c>
      <c r="B324" s="4">
        <v>214</v>
      </c>
      <c r="C324" s="5">
        <v>10.45</v>
      </c>
      <c r="D324" s="4">
        <v>24</v>
      </c>
      <c r="E324" s="5">
        <v>2.84</v>
      </c>
      <c r="F324" s="4">
        <v>190</v>
      </c>
      <c r="G324" s="5">
        <v>15.89</v>
      </c>
      <c r="H324" s="4">
        <v>0</v>
      </c>
    </row>
    <row r="325" spans="1:8" x14ac:dyDescent="0.2">
      <c r="A325" s="2" t="s">
        <v>63</v>
      </c>
      <c r="B325" s="4">
        <v>72</v>
      </c>
      <c r="C325" s="5">
        <v>3.52</v>
      </c>
      <c r="D325" s="4">
        <v>11</v>
      </c>
      <c r="E325" s="5">
        <v>1.3</v>
      </c>
      <c r="F325" s="4">
        <v>61</v>
      </c>
      <c r="G325" s="5">
        <v>5.0999999999999996</v>
      </c>
      <c r="H325" s="4">
        <v>0</v>
      </c>
    </row>
    <row r="326" spans="1:8" x14ac:dyDescent="0.2">
      <c r="A326" s="2" t="s">
        <v>64</v>
      </c>
      <c r="B326" s="4">
        <v>1</v>
      </c>
      <c r="C326" s="5">
        <v>0.05</v>
      </c>
      <c r="D326" s="4">
        <v>0</v>
      </c>
      <c r="E326" s="5">
        <v>0</v>
      </c>
      <c r="F326" s="4">
        <v>1</v>
      </c>
      <c r="G326" s="5">
        <v>0.08</v>
      </c>
      <c r="H326" s="4">
        <v>0</v>
      </c>
    </row>
    <row r="327" spans="1:8" x14ac:dyDescent="0.2">
      <c r="A327" s="2" t="s">
        <v>65</v>
      </c>
      <c r="B327" s="4">
        <v>38</v>
      </c>
      <c r="C327" s="5">
        <v>1.86</v>
      </c>
      <c r="D327" s="4">
        <v>1</v>
      </c>
      <c r="E327" s="5">
        <v>0.12</v>
      </c>
      <c r="F327" s="4">
        <v>37</v>
      </c>
      <c r="G327" s="5">
        <v>3.09</v>
      </c>
      <c r="H327" s="4">
        <v>0</v>
      </c>
    </row>
    <row r="328" spans="1:8" x14ac:dyDescent="0.2">
      <c r="A328" s="2" t="s">
        <v>66</v>
      </c>
      <c r="B328" s="4">
        <v>20</v>
      </c>
      <c r="C328" s="5">
        <v>0.98</v>
      </c>
      <c r="D328" s="4">
        <v>1</v>
      </c>
      <c r="E328" s="5">
        <v>0.12</v>
      </c>
      <c r="F328" s="4">
        <v>19</v>
      </c>
      <c r="G328" s="5">
        <v>1.59</v>
      </c>
      <c r="H328" s="4">
        <v>0</v>
      </c>
    </row>
    <row r="329" spans="1:8" x14ac:dyDescent="0.2">
      <c r="A329" s="2" t="s">
        <v>67</v>
      </c>
      <c r="B329" s="4">
        <v>384</v>
      </c>
      <c r="C329" s="5">
        <v>18.75</v>
      </c>
      <c r="D329" s="4">
        <v>122</v>
      </c>
      <c r="E329" s="5">
        <v>14.45</v>
      </c>
      <c r="F329" s="4">
        <v>262</v>
      </c>
      <c r="G329" s="5">
        <v>21.91</v>
      </c>
      <c r="H329" s="4">
        <v>0</v>
      </c>
    </row>
    <row r="330" spans="1:8" x14ac:dyDescent="0.2">
      <c r="A330" s="2" t="s">
        <v>68</v>
      </c>
      <c r="B330" s="4">
        <v>11</v>
      </c>
      <c r="C330" s="5">
        <v>0.54</v>
      </c>
      <c r="D330" s="4">
        <v>1</v>
      </c>
      <c r="E330" s="5">
        <v>0.12</v>
      </c>
      <c r="F330" s="4">
        <v>10</v>
      </c>
      <c r="G330" s="5">
        <v>0.84</v>
      </c>
      <c r="H330" s="4">
        <v>0</v>
      </c>
    </row>
    <row r="331" spans="1:8" x14ac:dyDescent="0.2">
      <c r="A331" s="2" t="s">
        <v>69</v>
      </c>
      <c r="B331" s="4">
        <v>303</v>
      </c>
      <c r="C331" s="5">
        <v>14.79</v>
      </c>
      <c r="D331" s="4">
        <v>91</v>
      </c>
      <c r="E331" s="5">
        <v>10.78</v>
      </c>
      <c r="F331" s="4">
        <v>211</v>
      </c>
      <c r="G331" s="5">
        <v>17.64</v>
      </c>
      <c r="H331" s="4">
        <v>1</v>
      </c>
    </row>
    <row r="332" spans="1:8" x14ac:dyDescent="0.2">
      <c r="A332" s="2" t="s">
        <v>70</v>
      </c>
      <c r="B332" s="4">
        <v>167</v>
      </c>
      <c r="C332" s="5">
        <v>8.15</v>
      </c>
      <c r="D332" s="4">
        <v>47</v>
      </c>
      <c r="E332" s="5">
        <v>5.57</v>
      </c>
      <c r="F332" s="4">
        <v>120</v>
      </c>
      <c r="G332" s="5">
        <v>10.029999999999999</v>
      </c>
      <c r="H332" s="4">
        <v>0</v>
      </c>
    </row>
    <row r="333" spans="1:8" x14ac:dyDescent="0.2">
      <c r="A333" s="2" t="s">
        <v>71</v>
      </c>
      <c r="B333" s="4">
        <v>245</v>
      </c>
      <c r="C333" s="5">
        <v>11.96</v>
      </c>
      <c r="D333" s="4">
        <v>181</v>
      </c>
      <c r="E333" s="5">
        <v>21.45</v>
      </c>
      <c r="F333" s="4">
        <v>64</v>
      </c>
      <c r="G333" s="5">
        <v>5.35</v>
      </c>
      <c r="H333" s="4">
        <v>0</v>
      </c>
    </row>
    <row r="334" spans="1:8" x14ac:dyDescent="0.2">
      <c r="A334" s="2" t="s">
        <v>72</v>
      </c>
      <c r="B334" s="4">
        <v>283</v>
      </c>
      <c r="C334" s="5">
        <v>13.82</v>
      </c>
      <c r="D334" s="4">
        <v>202</v>
      </c>
      <c r="E334" s="5">
        <v>23.93</v>
      </c>
      <c r="F334" s="4">
        <v>80</v>
      </c>
      <c r="G334" s="5">
        <v>6.69</v>
      </c>
      <c r="H334" s="4">
        <v>0</v>
      </c>
    </row>
    <row r="335" spans="1:8" x14ac:dyDescent="0.2">
      <c r="A335" s="2" t="s">
        <v>73</v>
      </c>
      <c r="B335" s="4">
        <v>104</v>
      </c>
      <c r="C335" s="5">
        <v>5.08</v>
      </c>
      <c r="D335" s="4">
        <v>67</v>
      </c>
      <c r="E335" s="5">
        <v>7.94</v>
      </c>
      <c r="F335" s="4">
        <v>35</v>
      </c>
      <c r="G335" s="5">
        <v>2.93</v>
      </c>
      <c r="H335" s="4">
        <v>1</v>
      </c>
    </row>
    <row r="336" spans="1:8" x14ac:dyDescent="0.2">
      <c r="A336" s="2" t="s">
        <v>74</v>
      </c>
      <c r="B336" s="4">
        <v>141</v>
      </c>
      <c r="C336" s="5">
        <v>6.88</v>
      </c>
      <c r="D336" s="4">
        <v>83</v>
      </c>
      <c r="E336" s="5">
        <v>9.83</v>
      </c>
      <c r="F336" s="4">
        <v>56</v>
      </c>
      <c r="G336" s="5">
        <v>4.68</v>
      </c>
      <c r="H336" s="4">
        <v>0</v>
      </c>
    </row>
    <row r="337" spans="1:8" x14ac:dyDescent="0.2">
      <c r="A337" s="2" t="s">
        <v>75</v>
      </c>
      <c r="B337" s="4">
        <v>65</v>
      </c>
      <c r="C337" s="5">
        <v>3.17</v>
      </c>
      <c r="D337" s="4">
        <v>13</v>
      </c>
      <c r="E337" s="5">
        <v>1.54</v>
      </c>
      <c r="F337" s="4">
        <v>50</v>
      </c>
      <c r="G337" s="5">
        <v>4.18</v>
      </c>
      <c r="H337" s="4">
        <v>0</v>
      </c>
    </row>
    <row r="338" spans="1:8" x14ac:dyDescent="0.2">
      <c r="A338" s="1" t="s">
        <v>21</v>
      </c>
      <c r="B338" s="4">
        <v>6293</v>
      </c>
      <c r="C338" s="5">
        <v>99.990000000000009</v>
      </c>
      <c r="D338" s="4">
        <v>2300</v>
      </c>
      <c r="E338" s="5">
        <v>99.99</v>
      </c>
      <c r="F338" s="4">
        <v>3971</v>
      </c>
      <c r="G338" s="5">
        <v>100.00999999999999</v>
      </c>
      <c r="H338" s="4">
        <v>4</v>
      </c>
    </row>
    <row r="339" spans="1:8" x14ac:dyDescent="0.2">
      <c r="A339" s="2" t="s">
        <v>61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62</v>
      </c>
      <c r="B340" s="4">
        <v>946</v>
      </c>
      <c r="C340" s="5">
        <v>15.03</v>
      </c>
      <c r="D340" s="4">
        <v>134</v>
      </c>
      <c r="E340" s="5">
        <v>5.83</v>
      </c>
      <c r="F340" s="4">
        <v>812</v>
      </c>
      <c r="G340" s="5">
        <v>20.45</v>
      </c>
      <c r="H340" s="4">
        <v>0</v>
      </c>
    </row>
    <row r="341" spans="1:8" x14ac:dyDescent="0.2">
      <c r="A341" s="2" t="s">
        <v>63</v>
      </c>
      <c r="B341" s="4">
        <v>367</v>
      </c>
      <c r="C341" s="5">
        <v>5.83</v>
      </c>
      <c r="D341" s="4">
        <v>81</v>
      </c>
      <c r="E341" s="5">
        <v>3.52</v>
      </c>
      <c r="F341" s="4">
        <v>286</v>
      </c>
      <c r="G341" s="5">
        <v>7.2</v>
      </c>
      <c r="H341" s="4">
        <v>0</v>
      </c>
    </row>
    <row r="342" spans="1:8" x14ac:dyDescent="0.2">
      <c r="A342" s="2" t="s">
        <v>64</v>
      </c>
      <c r="B342" s="4">
        <v>10</v>
      </c>
      <c r="C342" s="5">
        <v>0.16</v>
      </c>
      <c r="D342" s="4">
        <v>0</v>
      </c>
      <c r="E342" s="5">
        <v>0</v>
      </c>
      <c r="F342" s="4">
        <v>10</v>
      </c>
      <c r="G342" s="5">
        <v>0.25</v>
      </c>
      <c r="H342" s="4">
        <v>0</v>
      </c>
    </row>
    <row r="343" spans="1:8" x14ac:dyDescent="0.2">
      <c r="A343" s="2" t="s">
        <v>65</v>
      </c>
      <c r="B343" s="4">
        <v>121</v>
      </c>
      <c r="C343" s="5">
        <v>1.92</v>
      </c>
      <c r="D343" s="4">
        <v>0</v>
      </c>
      <c r="E343" s="5">
        <v>0</v>
      </c>
      <c r="F343" s="4">
        <v>121</v>
      </c>
      <c r="G343" s="5">
        <v>3.05</v>
      </c>
      <c r="H343" s="4">
        <v>0</v>
      </c>
    </row>
    <row r="344" spans="1:8" x14ac:dyDescent="0.2">
      <c r="A344" s="2" t="s">
        <v>66</v>
      </c>
      <c r="B344" s="4">
        <v>70</v>
      </c>
      <c r="C344" s="5">
        <v>1.1100000000000001</v>
      </c>
      <c r="D344" s="4">
        <v>7</v>
      </c>
      <c r="E344" s="5">
        <v>0.3</v>
      </c>
      <c r="F344" s="4">
        <v>63</v>
      </c>
      <c r="G344" s="5">
        <v>1.59</v>
      </c>
      <c r="H344" s="4">
        <v>0</v>
      </c>
    </row>
    <row r="345" spans="1:8" x14ac:dyDescent="0.2">
      <c r="A345" s="2" t="s">
        <v>67</v>
      </c>
      <c r="B345" s="4">
        <v>1245</v>
      </c>
      <c r="C345" s="5">
        <v>19.78</v>
      </c>
      <c r="D345" s="4">
        <v>358</v>
      </c>
      <c r="E345" s="5">
        <v>15.57</v>
      </c>
      <c r="F345" s="4">
        <v>885</v>
      </c>
      <c r="G345" s="5">
        <v>22.29</v>
      </c>
      <c r="H345" s="4">
        <v>2</v>
      </c>
    </row>
    <row r="346" spans="1:8" x14ac:dyDescent="0.2">
      <c r="A346" s="2" t="s">
        <v>68</v>
      </c>
      <c r="B346" s="4">
        <v>43</v>
      </c>
      <c r="C346" s="5">
        <v>0.68</v>
      </c>
      <c r="D346" s="4">
        <v>4</v>
      </c>
      <c r="E346" s="5">
        <v>0.17</v>
      </c>
      <c r="F346" s="4">
        <v>39</v>
      </c>
      <c r="G346" s="5">
        <v>0.98</v>
      </c>
      <c r="H346" s="4">
        <v>0</v>
      </c>
    </row>
    <row r="347" spans="1:8" x14ac:dyDescent="0.2">
      <c r="A347" s="2" t="s">
        <v>69</v>
      </c>
      <c r="B347" s="4">
        <v>703</v>
      </c>
      <c r="C347" s="5">
        <v>11.17</v>
      </c>
      <c r="D347" s="4">
        <v>127</v>
      </c>
      <c r="E347" s="5">
        <v>5.52</v>
      </c>
      <c r="F347" s="4">
        <v>573</v>
      </c>
      <c r="G347" s="5">
        <v>14.43</v>
      </c>
      <c r="H347" s="4">
        <v>1</v>
      </c>
    </row>
    <row r="348" spans="1:8" x14ac:dyDescent="0.2">
      <c r="A348" s="2" t="s">
        <v>70</v>
      </c>
      <c r="B348" s="4">
        <v>442</v>
      </c>
      <c r="C348" s="5">
        <v>7.02</v>
      </c>
      <c r="D348" s="4">
        <v>156</v>
      </c>
      <c r="E348" s="5">
        <v>6.78</v>
      </c>
      <c r="F348" s="4">
        <v>285</v>
      </c>
      <c r="G348" s="5">
        <v>7.18</v>
      </c>
      <c r="H348" s="4">
        <v>0</v>
      </c>
    </row>
    <row r="349" spans="1:8" x14ac:dyDescent="0.2">
      <c r="A349" s="2" t="s">
        <v>71</v>
      </c>
      <c r="B349" s="4">
        <v>612</v>
      </c>
      <c r="C349" s="5">
        <v>9.73</v>
      </c>
      <c r="D349" s="4">
        <v>452</v>
      </c>
      <c r="E349" s="5">
        <v>19.649999999999999</v>
      </c>
      <c r="F349" s="4">
        <v>158</v>
      </c>
      <c r="G349" s="5">
        <v>3.98</v>
      </c>
      <c r="H349" s="4">
        <v>0</v>
      </c>
    </row>
    <row r="350" spans="1:8" x14ac:dyDescent="0.2">
      <c r="A350" s="2" t="s">
        <v>72</v>
      </c>
      <c r="B350" s="4">
        <v>777</v>
      </c>
      <c r="C350" s="5">
        <v>12.35</v>
      </c>
      <c r="D350" s="4">
        <v>518</v>
      </c>
      <c r="E350" s="5">
        <v>22.52</v>
      </c>
      <c r="F350" s="4">
        <v>259</v>
      </c>
      <c r="G350" s="5">
        <v>6.52</v>
      </c>
      <c r="H350" s="4">
        <v>0</v>
      </c>
    </row>
    <row r="351" spans="1:8" x14ac:dyDescent="0.2">
      <c r="A351" s="2" t="s">
        <v>73</v>
      </c>
      <c r="B351" s="4">
        <v>304</v>
      </c>
      <c r="C351" s="5">
        <v>4.83</v>
      </c>
      <c r="D351" s="4">
        <v>182</v>
      </c>
      <c r="E351" s="5">
        <v>7.91</v>
      </c>
      <c r="F351" s="4">
        <v>122</v>
      </c>
      <c r="G351" s="5">
        <v>3.07</v>
      </c>
      <c r="H351" s="4">
        <v>0</v>
      </c>
    </row>
    <row r="352" spans="1:8" x14ac:dyDescent="0.2">
      <c r="A352" s="2" t="s">
        <v>74</v>
      </c>
      <c r="B352" s="4">
        <v>385</v>
      </c>
      <c r="C352" s="5">
        <v>6.12</v>
      </c>
      <c r="D352" s="4">
        <v>233</v>
      </c>
      <c r="E352" s="5">
        <v>10.130000000000001</v>
      </c>
      <c r="F352" s="4">
        <v>148</v>
      </c>
      <c r="G352" s="5">
        <v>3.73</v>
      </c>
      <c r="H352" s="4">
        <v>0</v>
      </c>
    </row>
    <row r="353" spans="1:8" x14ac:dyDescent="0.2">
      <c r="A353" s="2" t="s">
        <v>75</v>
      </c>
      <c r="B353" s="4">
        <v>268</v>
      </c>
      <c r="C353" s="5">
        <v>4.26</v>
      </c>
      <c r="D353" s="4">
        <v>48</v>
      </c>
      <c r="E353" s="5">
        <v>2.09</v>
      </c>
      <c r="F353" s="4">
        <v>210</v>
      </c>
      <c r="G353" s="5">
        <v>5.29</v>
      </c>
      <c r="H353" s="4">
        <v>1</v>
      </c>
    </row>
    <row r="354" spans="1:8" x14ac:dyDescent="0.2">
      <c r="A354" s="1" t="s">
        <v>22</v>
      </c>
      <c r="B354" s="4">
        <v>693</v>
      </c>
      <c r="C354" s="5">
        <v>100.01</v>
      </c>
      <c r="D354" s="4">
        <v>478</v>
      </c>
      <c r="E354" s="5">
        <v>100.00999999999999</v>
      </c>
      <c r="F354" s="4">
        <v>210</v>
      </c>
      <c r="G354" s="5">
        <v>100</v>
      </c>
      <c r="H354" s="4">
        <v>1</v>
      </c>
    </row>
    <row r="355" spans="1:8" x14ac:dyDescent="0.2">
      <c r="A355" s="2" t="s">
        <v>61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62</v>
      </c>
      <c r="B356" s="4">
        <v>109</v>
      </c>
      <c r="C356" s="5">
        <v>15.73</v>
      </c>
      <c r="D356" s="4">
        <v>66</v>
      </c>
      <c r="E356" s="5">
        <v>13.81</v>
      </c>
      <c r="F356" s="4">
        <v>43</v>
      </c>
      <c r="G356" s="5">
        <v>20.48</v>
      </c>
      <c r="H356" s="4">
        <v>0</v>
      </c>
    </row>
    <row r="357" spans="1:8" x14ac:dyDescent="0.2">
      <c r="A357" s="2" t="s">
        <v>63</v>
      </c>
      <c r="B357" s="4">
        <v>34</v>
      </c>
      <c r="C357" s="5">
        <v>4.91</v>
      </c>
      <c r="D357" s="4">
        <v>18</v>
      </c>
      <c r="E357" s="5">
        <v>3.77</v>
      </c>
      <c r="F357" s="4">
        <v>16</v>
      </c>
      <c r="G357" s="5">
        <v>7.62</v>
      </c>
      <c r="H357" s="4">
        <v>0</v>
      </c>
    </row>
    <row r="358" spans="1:8" x14ac:dyDescent="0.2">
      <c r="A358" s="2" t="s">
        <v>64</v>
      </c>
      <c r="B358" s="4">
        <v>0</v>
      </c>
      <c r="C358" s="5">
        <v>0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2">
      <c r="A359" s="2" t="s">
        <v>65</v>
      </c>
      <c r="B359" s="4">
        <v>2</v>
      </c>
      <c r="C359" s="5">
        <v>0.28999999999999998</v>
      </c>
      <c r="D359" s="4">
        <v>0</v>
      </c>
      <c r="E359" s="5">
        <v>0</v>
      </c>
      <c r="F359" s="4">
        <v>2</v>
      </c>
      <c r="G359" s="5">
        <v>0.95</v>
      </c>
      <c r="H359" s="4">
        <v>0</v>
      </c>
    </row>
    <row r="360" spans="1:8" x14ac:dyDescent="0.2">
      <c r="A360" s="2" t="s">
        <v>66</v>
      </c>
      <c r="B360" s="4">
        <v>9</v>
      </c>
      <c r="C360" s="5">
        <v>1.3</v>
      </c>
      <c r="D360" s="4">
        <v>3</v>
      </c>
      <c r="E360" s="5">
        <v>0.63</v>
      </c>
      <c r="F360" s="4">
        <v>5</v>
      </c>
      <c r="G360" s="5">
        <v>2.38</v>
      </c>
      <c r="H360" s="4">
        <v>1</v>
      </c>
    </row>
    <row r="361" spans="1:8" x14ac:dyDescent="0.2">
      <c r="A361" s="2" t="s">
        <v>67</v>
      </c>
      <c r="B361" s="4">
        <v>174</v>
      </c>
      <c r="C361" s="5">
        <v>25.11</v>
      </c>
      <c r="D361" s="4">
        <v>102</v>
      </c>
      <c r="E361" s="5">
        <v>21.34</v>
      </c>
      <c r="F361" s="4">
        <v>72</v>
      </c>
      <c r="G361" s="5">
        <v>34.29</v>
      </c>
      <c r="H361" s="4">
        <v>0</v>
      </c>
    </row>
    <row r="362" spans="1:8" x14ac:dyDescent="0.2">
      <c r="A362" s="2" t="s">
        <v>68</v>
      </c>
      <c r="B362" s="4">
        <v>5</v>
      </c>
      <c r="C362" s="5">
        <v>0.72</v>
      </c>
      <c r="D362" s="4">
        <v>1</v>
      </c>
      <c r="E362" s="5">
        <v>0.21</v>
      </c>
      <c r="F362" s="4">
        <v>4</v>
      </c>
      <c r="G362" s="5">
        <v>1.9</v>
      </c>
      <c r="H362" s="4">
        <v>0</v>
      </c>
    </row>
    <row r="363" spans="1:8" x14ac:dyDescent="0.2">
      <c r="A363" s="2" t="s">
        <v>69</v>
      </c>
      <c r="B363" s="4">
        <v>75</v>
      </c>
      <c r="C363" s="5">
        <v>10.82</v>
      </c>
      <c r="D363" s="4">
        <v>64</v>
      </c>
      <c r="E363" s="5">
        <v>13.39</v>
      </c>
      <c r="F363" s="4">
        <v>11</v>
      </c>
      <c r="G363" s="5">
        <v>5.24</v>
      </c>
      <c r="H363" s="4">
        <v>0</v>
      </c>
    </row>
    <row r="364" spans="1:8" x14ac:dyDescent="0.2">
      <c r="A364" s="2" t="s">
        <v>70</v>
      </c>
      <c r="B364" s="4">
        <v>13</v>
      </c>
      <c r="C364" s="5">
        <v>1.88</v>
      </c>
      <c r="D364" s="4">
        <v>6</v>
      </c>
      <c r="E364" s="5">
        <v>1.26</v>
      </c>
      <c r="F364" s="4">
        <v>7</v>
      </c>
      <c r="G364" s="5">
        <v>3.33</v>
      </c>
      <c r="H364" s="4">
        <v>0</v>
      </c>
    </row>
    <row r="365" spans="1:8" x14ac:dyDescent="0.2">
      <c r="A365" s="2" t="s">
        <v>71</v>
      </c>
      <c r="B365" s="4">
        <v>139</v>
      </c>
      <c r="C365" s="5">
        <v>20.059999999999999</v>
      </c>
      <c r="D365" s="4">
        <v>116</v>
      </c>
      <c r="E365" s="5">
        <v>24.27</v>
      </c>
      <c r="F365" s="4">
        <v>22</v>
      </c>
      <c r="G365" s="5">
        <v>10.48</v>
      </c>
      <c r="H365" s="4">
        <v>0</v>
      </c>
    </row>
    <row r="366" spans="1:8" x14ac:dyDescent="0.2">
      <c r="A366" s="2" t="s">
        <v>72</v>
      </c>
      <c r="B366" s="4">
        <v>87</v>
      </c>
      <c r="C366" s="5">
        <v>12.55</v>
      </c>
      <c r="D366" s="4">
        <v>75</v>
      </c>
      <c r="E366" s="5">
        <v>15.69</v>
      </c>
      <c r="F366" s="4">
        <v>12</v>
      </c>
      <c r="G366" s="5">
        <v>5.71</v>
      </c>
      <c r="H366" s="4">
        <v>0</v>
      </c>
    </row>
    <row r="367" spans="1:8" x14ac:dyDescent="0.2">
      <c r="A367" s="2" t="s">
        <v>73</v>
      </c>
      <c r="B367" s="4">
        <v>16</v>
      </c>
      <c r="C367" s="5">
        <v>2.31</v>
      </c>
      <c r="D367" s="4">
        <v>12</v>
      </c>
      <c r="E367" s="5">
        <v>2.5099999999999998</v>
      </c>
      <c r="F367" s="4">
        <v>2</v>
      </c>
      <c r="G367" s="5">
        <v>0.95</v>
      </c>
      <c r="H367" s="4">
        <v>0</v>
      </c>
    </row>
    <row r="368" spans="1:8" x14ac:dyDescent="0.2">
      <c r="A368" s="2" t="s">
        <v>74</v>
      </c>
      <c r="B368" s="4">
        <v>14</v>
      </c>
      <c r="C368" s="5">
        <v>2.02</v>
      </c>
      <c r="D368" s="4">
        <v>8</v>
      </c>
      <c r="E368" s="5">
        <v>1.67</v>
      </c>
      <c r="F368" s="4">
        <v>5</v>
      </c>
      <c r="G368" s="5">
        <v>2.38</v>
      </c>
      <c r="H368" s="4">
        <v>0</v>
      </c>
    </row>
    <row r="369" spans="1:8" x14ac:dyDescent="0.2">
      <c r="A369" s="2" t="s">
        <v>75</v>
      </c>
      <c r="B369" s="4">
        <v>16</v>
      </c>
      <c r="C369" s="5">
        <v>2.31</v>
      </c>
      <c r="D369" s="4">
        <v>7</v>
      </c>
      <c r="E369" s="5">
        <v>1.46</v>
      </c>
      <c r="F369" s="4">
        <v>9</v>
      </c>
      <c r="G369" s="5">
        <v>4.29</v>
      </c>
      <c r="H369" s="4">
        <v>0</v>
      </c>
    </row>
    <row r="370" spans="1:8" x14ac:dyDescent="0.2">
      <c r="A370" s="1" t="s">
        <v>23</v>
      </c>
      <c r="B370" s="4">
        <v>4387</v>
      </c>
      <c r="C370" s="5">
        <v>100</v>
      </c>
      <c r="D370" s="4">
        <v>1594</v>
      </c>
      <c r="E370" s="5">
        <v>100.02000000000001</v>
      </c>
      <c r="F370" s="4">
        <v>2785</v>
      </c>
      <c r="G370" s="5">
        <v>100.00999999999999</v>
      </c>
      <c r="H370" s="4">
        <v>1</v>
      </c>
    </row>
    <row r="371" spans="1:8" x14ac:dyDescent="0.2">
      <c r="A371" s="2" t="s">
        <v>61</v>
      </c>
      <c r="B371" s="4">
        <v>2</v>
      </c>
      <c r="C371" s="5">
        <v>0.05</v>
      </c>
      <c r="D371" s="4">
        <v>0</v>
      </c>
      <c r="E371" s="5">
        <v>0</v>
      </c>
      <c r="F371" s="4">
        <v>2</v>
      </c>
      <c r="G371" s="5">
        <v>7.0000000000000007E-2</v>
      </c>
      <c r="H371" s="4">
        <v>0</v>
      </c>
    </row>
    <row r="372" spans="1:8" x14ac:dyDescent="0.2">
      <c r="A372" s="2" t="s">
        <v>62</v>
      </c>
      <c r="B372" s="4">
        <v>1024</v>
      </c>
      <c r="C372" s="5">
        <v>23.34</v>
      </c>
      <c r="D372" s="4">
        <v>113</v>
      </c>
      <c r="E372" s="5">
        <v>7.09</v>
      </c>
      <c r="F372" s="4">
        <v>911</v>
      </c>
      <c r="G372" s="5">
        <v>32.71</v>
      </c>
      <c r="H372" s="4">
        <v>0</v>
      </c>
    </row>
    <row r="373" spans="1:8" x14ac:dyDescent="0.2">
      <c r="A373" s="2" t="s">
        <v>63</v>
      </c>
      <c r="B373" s="4">
        <v>218</v>
      </c>
      <c r="C373" s="5">
        <v>4.97</v>
      </c>
      <c r="D373" s="4">
        <v>35</v>
      </c>
      <c r="E373" s="5">
        <v>2.2000000000000002</v>
      </c>
      <c r="F373" s="4">
        <v>183</v>
      </c>
      <c r="G373" s="5">
        <v>6.57</v>
      </c>
      <c r="H373" s="4">
        <v>0</v>
      </c>
    </row>
    <row r="374" spans="1:8" x14ac:dyDescent="0.2">
      <c r="A374" s="2" t="s">
        <v>64</v>
      </c>
      <c r="B374" s="4">
        <v>9</v>
      </c>
      <c r="C374" s="5">
        <v>0.21</v>
      </c>
      <c r="D374" s="4">
        <v>0</v>
      </c>
      <c r="E374" s="5">
        <v>0</v>
      </c>
      <c r="F374" s="4">
        <v>8</v>
      </c>
      <c r="G374" s="5">
        <v>0.28999999999999998</v>
      </c>
      <c r="H374" s="4">
        <v>0</v>
      </c>
    </row>
    <row r="375" spans="1:8" x14ac:dyDescent="0.2">
      <c r="A375" s="2" t="s">
        <v>65</v>
      </c>
      <c r="B375" s="4">
        <v>33</v>
      </c>
      <c r="C375" s="5">
        <v>0.75</v>
      </c>
      <c r="D375" s="4">
        <v>0</v>
      </c>
      <c r="E375" s="5">
        <v>0</v>
      </c>
      <c r="F375" s="4">
        <v>33</v>
      </c>
      <c r="G375" s="5">
        <v>1.18</v>
      </c>
      <c r="H375" s="4">
        <v>0</v>
      </c>
    </row>
    <row r="376" spans="1:8" x14ac:dyDescent="0.2">
      <c r="A376" s="2" t="s">
        <v>66</v>
      </c>
      <c r="B376" s="4">
        <v>78</v>
      </c>
      <c r="C376" s="5">
        <v>1.78</v>
      </c>
      <c r="D376" s="4">
        <v>2</v>
      </c>
      <c r="E376" s="5">
        <v>0.13</v>
      </c>
      <c r="F376" s="4">
        <v>76</v>
      </c>
      <c r="G376" s="5">
        <v>2.73</v>
      </c>
      <c r="H376" s="4">
        <v>0</v>
      </c>
    </row>
    <row r="377" spans="1:8" x14ac:dyDescent="0.2">
      <c r="A377" s="2" t="s">
        <v>67</v>
      </c>
      <c r="B377" s="4">
        <v>878</v>
      </c>
      <c r="C377" s="5">
        <v>20.010000000000002</v>
      </c>
      <c r="D377" s="4">
        <v>282</v>
      </c>
      <c r="E377" s="5">
        <v>17.690000000000001</v>
      </c>
      <c r="F377" s="4">
        <v>596</v>
      </c>
      <c r="G377" s="5">
        <v>21.4</v>
      </c>
      <c r="H377" s="4">
        <v>0</v>
      </c>
    </row>
    <row r="378" spans="1:8" x14ac:dyDescent="0.2">
      <c r="A378" s="2" t="s">
        <v>68</v>
      </c>
      <c r="B378" s="4">
        <v>29</v>
      </c>
      <c r="C378" s="5">
        <v>0.66</v>
      </c>
      <c r="D378" s="4">
        <v>1</v>
      </c>
      <c r="E378" s="5">
        <v>0.06</v>
      </c>
      <c r="F378" s="4">
        <v>28</v>
      </c>
      <c r="G378" s="5">
        <v>1.01</v>
      </c>
      <c r="H378" s="4">
        <v>0</v>
      </c>
    </row>
    <row r="379" spans="1:8" x14ac:dyDescent="0.2">
      <c r="A379" s="2" t="s">
        <v>69</v>
      </c>
      <c r="B379" s="4">
        <v>349</v>
      </c>
      <c r="C379" s="5">
        <v>7.96</v>
      </c>
      <c r="D379" s="4">
        <v>35</v>
      </c>
      <c r="E379" s="5">
        <v>2.2000000000000002</v>
      </c>
      <c r="F379" s="4">
        <v>313</v>
      </c>
      <c r="G379" s="5">
        <v>11.24</v>
      </c>
      <c r="H379" s="4">
        <v>0</v>
      </c>
    </row>
    <row r="380" spans="1:8" x14ac:dyDescent="0.2">
      <c r="A380" s="2" t="s">
        <v>70</v>
      </c>
      <c r="B380" s="4">
        <v>190</v>
      </c>
      <c r="C380" s="5">
        <v>4.33</v>
      </c>
      <c r="D380" s="4">
        <v>72</v>
      </c>
      <c r="E380" s="5">
        <v>4.5199999999999996</v>
      </c>
      <c r="F380" s="4">
        <v>118</v>
      </c>
      <c r="G380" s="5">
        <v>4.24</v>
      </c>
      <c r="H380" s="4">
        <v>0</v>
      </c>
    </row>
    <row r="381" spans="1:8" x14ac:dyDescent="0.2">
      <c r="A381" s="2" t="s">
        <v>71</v>
      </c>
      <c r="B381" s="4">
        <v>476</v>
      </c>
      <c r="C381" s="5">
        <v>10.85</v>
      </c>
      <c r="D381" s="4">
        <v>364</v>
      </c>
      <c r="E381" s="5">
        <v>22.84</v>
      </c>
      <c r="F381" s="4">
        <v>112</v>
      </c>
      <c r="G381" s="5">
        <v>4.0199999999999996</v>
      </c>
      <c r="H381" s="4">
        <v>0</v>
      </c>
    </row>
    <row r="382" spans="1:8" x14ac:dyDescent="0.2">
      <c r="A382" s="2" t="s">
        <v>72</v>
      </c>
      <c r="B382" s="4">
        <v>606</v>
      </c>
      <c r="C382" s="5">
        <v>13.81</v>
      </c>
      <c r="D382" s="4">
        <v>446</v>
      </c>
      <c r="E382" s="5">
        <v>27.98</v>
      </c>
      <c r="F382" s="4">
        <v>160</v>
      </c>
      <c r="G382" s="5">
        <v>5.75</v>
      </c>
      <c r="H382" s="4">
        <v>0</v>
      </c>
    </row>
    <row r="383" spans="1:8" x14ac:dyDescent="0.2">
      <c r="A383" s="2" t="s">
        <v>73</v>
      </c>
      <c r="B383" s="4">
        <v>129</v>
      </c>
      <c r="C383" s="5">
        <v>2.94</v>
      </c>
      <c r="D383" s="4">
        <v>80</v>
      </c>
      <c r="E383" s="5">
        <v>5.0199999999999996</v>
      </c>
      <c r="F383" s="4">
        <v>45</v>
      </c>
      <c r="G383" s="5">
        <v>1.62</v>
      </c>
      <c r="H383" s="4">
        <v>1</v>
      </c>
    </row>
    <row r="384" spans="1:8" x14ac:dyDescent="0.2">
      <c r="A384" s="2" t="s">
        <v>74</v>
      </c>
      <c r="B384" s="4">
        <v>176</v>
      </c>
      <c r="C384" s="5">
        <v>4.01</v>
      </c>
      <c r="D384" s="4">
        <v>117</v>
      </c>
      <c r="E384" s="5">
        <v>7.34</v>
      </c>
      <c r="F384" s="4">
        <v>59</v>
      </c>
      <c r="G384" s="5">
        <v>2.12</v>
      </c>
      <c r="H384" s="4">
        <v>0</v>
      </c>
    </row>
    <row r="385" spans="1:8" x14ac:dyDescent="0.2">
      <c r="A385" s="2" t="s">
        <v>75</v>
      </c>
      <c r="B385" s="4">
        <v>190</v>
      </c>
      <c r="C385" s="5">
        <v>4.33</v>
      </c>
      <c r="D385" s="4">
        <v>47</v>
      </c>
      <c r="E385" s="5">
        <v>2.95</v>
      </c>
      <c r="F385" s="4">
        <v>141</v>
      </c>
      <c r="G385" s="5">
        <v>5.0599999999999996</v>
      </c>
      <c r="H385" s="4">
        <v>0</v>
      </c>
    </row>
    <row r="386" spans="1:8" x14ac:dyDescent="0.2">
      <c r="A386" s="1" t="s">
        <v>24</v>
      </c>
      <c r="B386" s="4">
        <v>2368</v>
      </c>
      <c r="C386" s="5">
        <v>100</v>
      </c>
      <c r="D386" s="4">
        <v>907</v>
      </c>
      <c r="E386" s="5">
        <v>100</v>
      </c>
      <c r="F386" s="4">
        <v>1454</v>
      </c>
      <c r="G386" s="5">
        <v>100.02000000000001</v>
      </c>
      <c r="H386" s="4">
        <v>4</v>
      </c>
    </row>
    <row r="387" spans="1:8" x14ac:dyDescent="0.2">
      <c r="A387" s="2" t="s">
        <v>61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62</v>
      </c>
      <c r="B388" s="4">
        <v>350</v>
      </c>
      <c r="C388" s="5">
        <v>14.78</v>
      </c>
      <c r="D388" s="4">
        <v>51</v>
      </c>
      <c r="E388" s="5">
        <v>5.62</v>
      </c>
      <c r="F388" s="4">
        <v>299</v>
      </c>
      <c r="G388" s="5">
        <v>20.56</v>
      </c>
      <c r="H388" s="4">
        <v>0</v>
      </c>
    </row>
    <row r="389" spans="1:8" x14ac:dyDescent="0.2">
      <c r="A389" s="2" t="s">
        <v>63</v>
      </c>
      <c r="B389" s="4">
        <v>160</v>
      </c>
      <c r="C389" s="5">
        <v>6.76</v>
      </c>
      <c r="D389" s="4">
        <v>42</v>
      </c>
      <c r="E389" s="5">
        <v>4.63</v>
      </c>
      <c r="F389" s="4">
        <v>118</v>
      </c>
      <c r="G389" s="5">
        <v>8.1199999999999992</v>
      </c>
      <c r="H389" s="4">
        <v>0</v>
      </c>
    </row>
    <row r="390" spans="1:8" x14ac:dyDescent="0.2">
      <c r="A390" s="2" t="s">
        <v>64</v>
      </c>
      <c r="B390" s="4">
        <v>4</v>
      </c>
      <c r="C390" s="5">
        <v>0.17</v>
      </c>
      <c r="D390" s="4">
        <v>0</v>
      </c>
      <c r="E390" s="5">
        <v>0</v>
      </c>
      <c r="F390" s="4">
        <v>4</v>
      </c>
      <c r="G390" s="5">
        <v>0.28000000000000003</v>
      </c>
      <c r="H390" s="4">
        <v>0</v>
      </c>
    </row>
    <row r="391" spans="1:8" x14ac:dyDescent="0.2">
      <c r="A391" s="2" t="s">
        <v>65</v>
      </c>
      <c r="B391" s="4">
        <v>35</v>
      </c>
      <c r="C391" s="5">
        <v>1.48</v>
      </c>
      <c r="D391" s="4">
        <v>2</v>
      </c>
      <c r="E391" s="5">
        <v>0.22</v>
      </c>
      <c r="F391" s="4">
        <v>33</v>
      </c>
      <c r="G391" s="5">
        <v>2.27</v>
      </c>
      <c r="H391" s="4">
        <v>0</v>
      </c>
    </row>
    <row r="392" spans="1:8" x14ac:dyDescent="0.2">
      <c r="A392" s="2" t="s">
        <v>66</v>
      </c>
      <c r="B392" s="4">
        <v>19</v>
      </c>
      <c r="C392" s="5">
        <v>0.8</v>
      </c>
      <c r="D392" s="4">
        <v>1</v>
      </c>
      <c r="E392" s="5">
        <v>0.11</v>
      </c>
      <c r="F392" s="4">
        <v>18</v>
      </c>
      <c r="G392" s="5">
        <v>1.24</v>
      </c>
      <c r="H392" s="4">
        <v>0</v>
      </c>
    </row>
    <row r="393" spans="1:8" x14ac:dyDescent="0.2">
      <c r="A393" s="2" t="s">
        <v>67</v>
      </c>
      <c r="B393" s="4">
        <v>458</v>
      </c>
      <c r="C393" s="5">
        <v>19.34</v>
      </c>
      <c r="D393" s="4">
        <v>145</v>
      </c>
      <c r="E393" s="5">
        <v>15.99</v>
      </c>
      <c r="F393" s="4">
        <v>313</v>
      </c>
      <c r="G393" s="5">
        <v>21.53</v>
      </c>
      <c r="H393" s="4">
        <v>0</v>
      </c>
    </row>
    <row r="394" spans="1:8" x14ac:dyDescent="0.2">
      <c r="A394" s="2" t="s">
        <v>68</v>
      </c>
      <c r="B394" s="4">
        <v>17</v>
      </c>
      <c r="C394" s="5">
        <v>0.72</v>
      </c>
      <c r="D394" s="4">
        <v>3</v>
      </c>
      <c r="E394" s="5">
        <v>0.33</v>
      </c>
      <c r="F394" s="4">
        <v>14</v>
      </c>
      <c r="G394" s="5">
        <v>0.96</v>
      </c>
      <c r="H394" s="4">
        <v>0</v>
      </c>
    </row>
    <row r="395" spans="1:8" x14ac:dyDescent="0.2">
      <c r="A395" s="2" t="s">
        <v>69</v>
      </c>
      <c r="B395" s="4">
        <v>289</v>
      </c>
      <c r="C395" s="5">
        <v>12.2</v>
      </c>
      <c r="D395" s="4">
        <v>68</v>
      </c>
      <c r="E395" s="5">
        <v>7.5</v>
      </c>
      <c r="F395" s="4">
        <v>220</v>
      </c>
      <c r="G395" s="5">
        <v>15.13</v>
      </c>
      <c r="H395" s="4">
        <v>0</v>
      </c>
    </row>
    <row r="396" spans="1:8" x14ac:dyDescent="0.2">
      <c r="A396" s="2" t="s">
        <v>70</v>
      </c>
      <c r="B396" s="4">
        <v>138</v>
      </c>
      <c r="C396" s="5">
        <v>5.83</v>
      </c>
      <c r="D396" s="4">
        <v>46</v>
      </c>
      <c r="E396" s="5">
        <v>5.07</v>
      </c>
      <c r="F396" s="4">
        <v>90</v>
      </c>
      <c r="G396" s="5">
        <v>6.19</v>
      </c>
      <c r="H396" s="4">
        <v>1</v>
      </c>
    </row>
    <row r="397" spans="1:8" x14ac:dyDescent="0.2">
      <c r="A397" s="2" t="s">
        <v>71</v>
      </c>
      <c r="B397" s="4">
        <v>220</v>
      </c>
      <c r="C397" s="5">
        <v>9.2899999999999991</v>
      </c>
      <c r="D397" s="4">
        <v>159</v>
      </c>
      <c r="E397" s="5">
        <v>17.53</v>
      </c>
      <c r="F397" s="4">
        <v>61</v>
      </c>
      <c r="G397" s="5">
        <v>4.2</v>
      </c>
      <c r="H397" s="4">
        <v>0</v>
      </c>
    </row>
    <row r="398" spans="1:8" x14ac:dyDescent="0.2">
      <c r="A398" s="2" t="s">
        <v>72</v>
      </c>
      <c r="B398" s="4">
        <v>316</v>
      </c>
      <c r="C398" s="5">
        <v>13.34</v>
      </c>
      <c r="D398" s="4">
        <v>227</v>
      </c>
      <c r="E398" s="5">
        <v>25.03</v>
      </c>
      <c r="F398" s="4">
        <v>88</v>
      </c>
      <c r="G398" s="5">
        <v>6.05</v>
      </c>
      <c r="H398" s="4">
        <v>1</v>
      </c>
    </row>
    <row r="399" spans="1:8" x14ac:dyDescent="0.2">
      <c r="A399" s="2" t="s">
        <v>73</v>
      </c>
      <c r="B399" s="4">
        <v>117</v>
      </c>
      <c r="C399" s="5">
        <v>4.9400000000000004</v>
      </c>
      <c r="D399" s="4">
        <v>64</v>
      </c>
      <c r="E399" s="5">
        <v>7.06</v>
      </c>
      <c r="F399" s="4">
        <v>53</v>
      </c>
      <c r="G399" s="5">
        <v>3.65</v>
      </c>
      <c r="H399" s="4">
        <v>0</v>
      </c>
    </row>
    <row r="400" spans="1:8" x14ac:dyDescent="0.2">
      <c r="A400" s="2" t="s">
        <v>74</v>
      </c>
      <c r="B400" s="4">
        <v>153</v>
      </c>
      <c r="C400" s="5">
        <v>6.46</v>
      </c>
      <c r="D400" s="4">
        <v>87</v>
      </c>
      <c r="E400" s="5">
        <v>9.59</v>
      </c>
      <c r="F400" s="4">
        <v>66</v>
      </c>
      <c r="G400" s="5">
        <v>4.54</v>
      </c>
      <c r="H400" s="4">
        <v>0</v>
      </c>
    </row>
    <row r="401" spans="1:8" x14ac:dyDescent="0.2">
      <c r="A401" s="2" t="s">
        <v>75</v>
      </c>
      <c r="B401" s="4">
        <v>92</v>
      </c>
      <c r="C401" s="5">
        <v>3.89</v>
      </c>
      <c r="D401" s="4">
        <v>12</v>
      </c>
      <c r="E401" s="5">
        <v>1.32</v>
      </c>
      <c r="F401" s="4">
        <v>77</v>
      </c>
      <c r="G401" s="5">
        <v>5.3</v>
      </c>
      <c r="H401" s="4">
        <v>2</v>
      </c>
    </row>
    <row r="402" spans="1:8" x14ac:dyDescent="0.2">
      <c r="A402" s="1" t="s">
        <v>25</v>
      </c>
      <c r="B402" s="4">
        <v>2535</v>
      </c>
      <c r="C402" s="5">
        <v>99.97999999999999</v>
      </c>
      <c r="D402" s="4">
        <v>1051</v>
      </c>
      <c r="E402" s="5">
        <v>100</v>
      </c>
      <c r="F402" s="4">
        <v>1480</v>
      </c>
      <c r="G402" s="5">
        <v>99.989999999999981</v>
      </c>
      <c r="H402" s="4">
        <v>1</v>
      </c>
    </row>
    <row r="403" spans="1:8" x14ac:dyDescent="0.2">
      <c r="A403" s="2" t="s">
        <v>61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62</v>
      </c>
      <c r="B404" s="4">
        <v>347</v>
      </c>
      <c r="C404" s="5">
        <v>13.69</v>
      </c>
      <c r="D404" s="4">
        <v>36</v>
      </c>
      <c r="E404" s="5">
        <v>3.43</v>
      </c>
      <c r="F404" s="4">
        <v>311</v>
      </c>
      <c r="G404" s="5">
        <v>21.01</v>
      </c>
      <c r="H404" s="4">
        <v>0</v>
      </c>
    </row>
    <row r="405" spans="1:8" x14ac:dyDescent="0.2">
      <c r="A405" s="2" t="s">
        <v>63</v>
      </c>
      <c r="B405" s="4">
        <v>172</v>
      </c>
      <c r="C405" s="5">
        <v>6.79</v>
      </c>
      <c r="D405" s="4">
        <v>25</v>
      </c>
      <c r="E405" s="5">
        <v>2.38</v>
      </c>
      <c r="F405" s="4">
        <v>147</v>
      </c>
      <c r="G405" s="5">
        <v>9.93</v>
      </c>
      <c r="H405" s="4">
        <v>0</v>
      </c>
    </row>
    <row r="406" spans="1:8" x14ac:dyDescent="0.2">
      <c r="A406" s="2" t="s">
        <v>64</v>
      </c>
      <c r="B406" s="4">
        <v>3</v>
      </c>
      <c r="C406" s="5">
        <v>0.12</v>
      </c>
      <c r="D406" s="4">
        <v>0</v>
      </c>
      <c r="E406" s="5">
        <v>0</v>
      </c>
      <c r="F406" s="4">
        <v>3</v>
      </c>
      <c r="G406" s="5">
        <v>0.2</v>
      </c>
      <c r="H406" s="4">
        <v>0</v>
      </c>
    </row>
    <row r="407" spans="1:8" x14ac:dyDescent="0.2">
      <c r="A407" s="2" t="s">
        <v>65</v>
      </c>
      <c r="B407" s="4">
        <v>35</v>
      </c>
      <c r="C407" s="5">
        <v>1.38</v>
      </c>
      <c r="D407" s="4">
        <v>0</v>
      </c>
      <c r="E407" s="5">
        <v>0</v>
      </c>
      <c r="F407" s="4">
        <v>35</v>
      </c>
      <c r="G407" s="5">
        <v>2.36</v>
      </c>
      <c r="H407" s="4">
        <v>0</v>
      </c>
    </row>
    <row r="408" spans="1:8" x14ac:dyDescent="0.2">
      <c r="A408" s="2" t="s">
        <v>66</v>
      </c>
      <c r="B408" s="4">
        <v>29</v>
      </c>
      <c r="C408" s="5">
        <v>1.1399999999999999</v>
      </c>
      <c r="D408" s="4">
        <v>4</v>
      </c>
      <c r="E408" s="5">
        <v>0.38</v>
      </c>
      <c r="F408" s="4">
        <v>25</v>
      </c>
      <c r="G408" s="5">
        <v>1.69</v>
      </c>
      <c r="H408" s="4">
        <v>0</v>
      </c>
    </row>
    <row r="409" spans="1:8" x14ac:dyDescent="0.2">
      <c r="A409" s="2" t="s">
        <v>67</v>
      </c>
      <c r="B409" s="4">
        <v>499</v>
      </c>
      <c r="C409" s="5">
        <v>19.68</v>
      </c>
      <c r="D409" s="4">
        <v>162</v>
      </c>
      <c r="E409" s="5">
        <v>15.41</v>
      </c>
      <c r="F409" s="4">
        <v>337</v>
      </c>
      <c r="G409" s="5">
        <v>22.77</v>
      </c>
      <c r="H409" s="4">
        <v>0</v>
      </c>
    </row>
    <row r="410" spans="1:8" x14ac:dyDescent="0.2">
      <c r="A410" s="2" t="s">
        <v>68</v>
      </c>
      <c r="B410" s="4">
        <v>10</v>
      </c>
      <c r="C410" s="5">
        <v>0.39</v>
      </c>
      <c r="D410" s="4">
        <v>0</v>
      </c>
      <c r="E410" s="5">
        <v>0</v>
      </c>
      <c r="F410" s="4">
        <v>10</v>
      </c>
      <c r="G410" s="5">
        <v>0.68</v>
      </c>
      <c r="H410" s="4">
        <v>0</v>
      </c>
    </row>
    <row r="411" spans="1:8" x14ac:dyDescent="0.2">
      <c r="A411" s="2" t="s">
        <v>69</v>
      </c>
      <c r="B411" s="4">
        <v>209</v>
      </c>
      <c r="C411" s="5">
        <v>8.24</v>
      </c>
      <c r="D411" s="4">
        <v>25</v>
      </c>
      <c r="E411" s="5">
        <v>2.38</v>
      </c>
      <c r="F411" s="4">
        <v>184</v>
      </c>
      <c r="G411" s="5">
        <v>12.43</v>
      </c>
      <c r="H411" s="4">
        <v>0</v>
      </c>
    </row>
    <row r="412" spans="1:8" x14ac:dyDescent="0.2">
      <c r="A412" s="2" t="s">
        <v>70</v>
      </c>
      <c r="B412" s="4">
        <v>126</v>
      </c>
      <c r="C412" s="5">
        <v>4.97</v>
      </c>
      <c r="D412" s="4">
        <v>46</v>
      </c>
      <c r="E412" s="5">
        <v>4.38</v>
      </c>
      <c r="F412" s="4">
        <v>80</v>
      </c>
      <c r="G412" s="5">
        <v>5.41</v>
      </c>
      <c r="H412" s="4">
        <v>0</v>
      </c>
    </row>
    <row r="413" spans="1:8" x14ac:dyDescent="0.2">
      <c r="A413" s="2" t="s">
        <v>71</v>
      </c>
      <c r="B413" s="4">
        <v>327</v>
      </c>
      <c r="C413" s="5">
        <v>12.9</v>
      </c>
      <c r="D413" s="4">
        <v>247</v>
      </c>
      <c r="E413" s="5">
        <v>23.5</v>
      </c>
      <c r="F413" s="4">
        <v>80</v>
      </c>
      <c r="G413" s="5">
        <v>5.41</v>
      </c>
      <c r="H413" s="4">
        <v>0</v>
      </c>
    </row>
    <row r="414" spans="1:8" x14ac:dyDescent="0.2">
      <c r="A414" s="2" t="s">
        <v>72</v>
      </c>
      <c r="B414" s="4">
        <v>393</v>
      </c>
      <c r="C414" s="5">
        <v>15.5</v>
      </c>
      <c r="D414" s="4">
        <v>282</v>
      </c>
      <c r="E414" s="5">
        <v>26.83</v>
      </c>
      <c r="F414" s="4">
        <v>111</v>
      </c>
      <c r="G414" s="5">
        <v>7.5</v>
      </c>
      <c r="H414" s="4">
        <v>0</v>
      </c>
    </row>
    <row r="415" spans="1:8" x14ac:dyDescent="0.2">
      <c r="A415" s="2" t="s">
        <v>73</v>
      </c>
      <c r="B415" s="4">
        <v>144</v>
      </c>
      <c r="C415" s="5">
        <v>5.68</v>
      </c>
      <c r="D415" s="4">
        <v>103</v>
      </c>
      <c r="E415" s="5">
        <v>9.8000000000000007</v>
      </c>
      <c r="F415" s="4">
        <v>41</v>
      </c>
      <c r="G415" s="5">
        <v>2.77</v>
      </c>
      <c r="H415" s="4">
        <v>0</v>
      </c>
    </row>
    <row r="416" spans="1:8" x14ac:dyDescent="0.2">
      <c r="A416" s="2" t="s">
        <v>74</v>
      </c>
      <c r="B416" s="4">
        <v>158</v>
      </c>
      <c r="C416" s="5">
        <v>6.23</v>
      </c>
      <c r="D416" s="4">
        <v>101</v>
      </c>
      <c r="E416" s="5">
        <v>9.61</v>
      </c>
      <c r="F416" s="4">
        <v>56</v>
      </c>
      <c r="G416" s="5">
        <v>3.78</v>
      </c>
      <c r="H416" s="4">
        <v>0</v>
      </c>
    </row>
    <row r="417" spans="1:8" x14ac:dyDescent="0.2">
      <c r="A417" s="2" t="s">
        <v>75</v>
      </c>
      <c r="B417" s="4">
        <v>83</v>
      </c>
      <c r="C417" s="5">
        <v>3.27</v>
      </c>
      <c r="D417" s="4">
        <v>20</v>
      </c>
      <c r="E417" s="5">
        <v>1.9</v>
      </c>
      <c r="F417" s="4">
        <v>60</v>
      </c>
      <c r="G417" s="5">
        <v>4.05</v>
      </c>
      <c r="H417" s="4">
        <v>1</v>
      </c>
    </row>
    <row r="418" spans="1:8" x14ac:dyDescent="0.2">
      <c r="A418" s="1" t="s">
        <v>26</v>
      </c>
      <c r="B418" s="4">
        <v>1678</v>
      </c>
      <c r="C418" s="5">
        <v>99.99</v>
      </c>
      <c r="D418" s="4">
        <v>757</v>
      </c>
      <c r="E418" s="5">
        <v>99.97999999999999</v>
      </c>
      <c r="F418" s="4">
        <v>916</v>
      </c>
      <c r="G418" s="5">
        <v>100.00000000000001</v>
      </c>
      <c r="H418" s="4">
        <v>3</v>
      </c>
    </row>
    <row r="419" spans="1:8" x14ac:dyDescent="0.2">
      <c r="A419" s="2" t="s">
        <v>61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62</v>
      </c>
      <c r="B420" s="4">
        <v>236</v>
      </c>
      <c r="C420" s="5">
        <v>14.06</v>
      </c>
      <c r="D420" s="4">
        <v>45</v>
      </c>
      <c r="E420" s="5">
        <v>5.94</v>
      </c>
      <c r="F420" s="4">
        <v>191</v>
      </c>
      <c r="G420" s="5">
        <v>20.85</v>
      </c>
      <c r="H420" s="4">
        <v>0</v>
      </c>
    </row>
    <row r="421" spans="1:8" x14ac:dyDescent="0.2">
      <c r="A421" s="2" t="s">
        <v>63</v>
      </c>
      <c r="B421" s="4">
        <v>62</v>
      </c>
      <c r="C421" s="5">
        <v>3.69</v>
      </c>
      <c r="D421" s="4">
        <v>25</v>
      </c>
      <c r="E421" s="5">
        <v>3.3</v>
      </c>
      <c r="F421" s="4">
        <v>37</v>
      </c>
      <c r="G421" s="5">
        <v>4.04</v>
      </c>
      <c r="H421" s="4">
        <v>0</v>
      </c>
    </row>
    <row r="422" spans="1:8" x14ac:dyDescent="0.2">
      <c r="A422" s="2" t="s">
        <v>64</v>
      </c>
      <c r="B422" s="4">
        <v>4</v>
      </c>
      <c r="C422" s="5">
        <v>0.24</v>
      </c>
      <c r="D422" s="4">
        <v>0</v>
      </c>
      <c r="E422" s="5">
        <v>0</v>
      </c>
      <c r="F422" s="4">
        <v>4</v>
      </c>
      <c r="G422" s="5">
        <v>0.44</v>
      </c>
      <c r="H422" s="4">
        <v>0</v>
      </c>
    </row>
    <row r="423" spans="1:8" x14ac:dyDescent="0.2">
      <c r="A423" s="2" t="s">
        <v>65</v>
      </c>
      <c r="B423" s="4">
        <v>38</v>
      </c>
      <c r="C423" s="5">
        <v>2.2599999999999998</v>
      </c>
      <c r="D423" s="4">
        <v>0</v>
      </c>
      <c r="E423" s="5">
        <v>0</v>
      </c>
      <c r="F423" s="4">
        <v>38</v>
      </c>
      <c r="G423" s="5">
        <v>4.1500000000000004</v>
      </c>
      <c r="H423" s="4">
        <v>0</v>
      </c>
    </row>
    <row r="424" spans="1:8" x14ac:dyDescent="0.2">
      <c r="A424" s="2" t="s">
        <v>66</v>
      </c>
      <c r="B424" s="4">
        <v>11</v>
      </c>
      <c r="C424" s="5">
        <v>0.66</v>
      </c>
      <c r="D424" s="4">
        <v>2</v>
      </c>
      <c r="E424" s="5">
        <v>0.26</v>
      </c>
      <c r="F424" s="4">
        <v>9</v>
      </c>
      <c r="G424" s="5">
        <v>0.98</v>
      </c>
      <c r="H424" s="4">
        <v>0</v>
      </c>
    </row>
    <row r="425" spans="1:8" x14ac:dyDescent="0.2">
      <c r="A425" s="2" t="s">
        <v>67</v>
      </c>
      <c r="B425" s="4">
        <v>350</v>
      </c>
      <c r="C425" s="5">
        <v>20.86</v>
      </c>
      <c r="D425" s="4">
        <v>135</v>
      </c>
      <c r="E425" s="5">
        <v>17.829999999999998</v>
      </c>
      <c r="F425" s="4">
        <v>213</v>
      </c>
      <c r="G425" s="5">
        <v>23.25</v>
      </c>
      <c r="H425" s="4">
        <v>2</v>
      </c>
    </row>
    <row r="426" spans="1:8" x14ac:dyDescent="0.2">
      <c r="A426" s="2" t="s">
        <v>68</v>
      </c>
      <c r="B426" s="4">
        <v>16</v>
      </c>
      <c r="C426" s="5">
        <v>0.95</v>
      </c>
      <c r="D426" s="4">
        <v>3</v>
      </c>
      <c r="E426" s="5">
        <v>0.4</v>
      </c>
      <c r="F426" s="4">
        <v>13</v>
      </c>
      <c r="G426" s="5">
        <v>1.42</v>
      </c>
      <c r="H426" s="4">
        <v>0</v>
      </c>
    </row>
    <row r="427" spans="1:8" x14ac:dyDescent="0.2">
      <c r="A427" s="2" t="s">
        <v>69</v>
      </c>
      <c r="B427" s="4">
        <v>171</v>
      </c>
      <c r="C427" s="5">
        <v>10.19</v>
      </c>
      <c r="D427" s="4">
        <v>25</v>
      </c>
      <c r="E427" s="5">
        <v>3.3</v>
      </c>
      <c r="F427" s="4">
        <v>146</v>
      </c>
      <c r="G427" s="5">
        <v>15.94</v>
      </c>
      <c r="H427" s="4">
        <v>0</v>
      </c>
    </row>
    <row r="428" spans="1:8" x14ac:dyDescent="0.2">
      <c r="A428" s="2" t="s">
        <v>70</v>
      </c>
      <c r="B428" s="4">
        <v>113</v>
      </c>
      <c r="C428" s="5">
        <v>6.73</v>
      </c>
      <c r="D428" s="4">
        <v>45</v>
      </c>
      <c r="E428" s="5">
        <v>5.94</v>
      </c>
      <c r="F428" s="4">
        <v>68</v>
      </c>
      <c r="G428" s="5">
        <v>7.42</v>
      </c>
      <c r="H428" s="4">
        <v>0</v>
      </c>
    </row>
    <row r="429" spans="1:8" x14ac:dyDescent="0.2">
      <c r="A429" s="2" t="s">
        <v>71</v>
      </c>
      <c r="B429" s="4">
        <v>156</v>
      </c>
      <c r="C429" s="5">
        <v>9.3000000000000007</v>
      </c>
      <c r="D429" s="4">
        <v>120</v>
      </c>
      <c r="E429" s="5">
        <v>15.85</v>
      </c>
      <c r="F429" s="4">
        <v>36</v>
      </c>
      <c r="G429" s="5">
        <v>3.93</v>
      </c>
      <c r="H429" s="4">
        <v>0</v>
      </c>
    </row>
    <row r="430" spans="1:8" x14ac:dyDescent="0.2">
      <c r="A430" s="2" t="s">
        <v>72</v>
      </c>
      <c r="B430" s="4">
        <v>237</v>
      </c>
      <c r="C430" s="5">
        <v>14.12</v>
      </c>
      <c r="D430" s="4">
        <v>187</v>
      </c>
      <c r="E430" s="5">
        <v>24.7</v>
      </c>
      <c r="F430" s="4">
        <v>50</v>
      </c>
      <c r="G430" s="5">
        <v>5.46</v>
      </c>
      <c r="H430" s="4">
        <v>0</v>
      </c>
    </row>
    <row r="431" spans="1:8" x14ac:dyDescent="0.2">
      <c r="A431" s="2" t="s">
        <v>73</v>
      </c>
      <c r="B431" s="4">
        <v>107</v>
      </c>
      <c r="C431" s="5">
        <v>6.38</v>
      </c>
      <c r="D431" s="4">
        <v>75</v>
      </c>
      <c r="E431" s="5">
        <v>9.91</v>
      </c>
      <c r="F431" s="4">
        <v>32</v>
      </c>
      <c r="G431" s="5">
        <v>3.49</v>
      </c>
      <c r="H431" s="4">
        <v>0</v>
      </c>
    </row>
    <row r="432" spans="1:8" x14ac:dyDescent="0.2">
      <c r="A432" s="2" t="s">
        <v>74</v>
      </c>
      <c r="B432" s="4">
        <v>130</v>
      </c>
      <c r="C432" s="5">
        <v>7.75</v>
      </c>
      <c r="D432" s="4">
        <v>85</v>
      </c>
      <c r="E432" s="5">
        <v>11.23</v>
      </c>
      <c r="F432" s="4">
        <v>42</v>
      </c>
      <c r="G432" s="5">
        <v>4.59</v>
      </c>
      <c r="H432" s="4">
        <v>1</v>
      </c>
    </row>
    <row r="433" spans="1:8" x14ac:dyDescent="0.2">
      <c r="A433" s="2" t="s">
        <v>75</v>
      </c>
      <c r="B433" s="4">
        <v>47</v>
      </c>
      <c r="C433" s="5">
        <v>2.8</v>
      </c>
      <c r="D433" s="4">
        <v>10</v>
      </c>
      <c r="E433" s="5">
        <v>1.32</v>
      </c>
      <c r="F433" s="4">
        <v>37</v>
      </c>
      <c r="G433" s="5">
        <v>4.04</v>
      </c>
      <c r="H433" s="4">
        <v>0</v>
      </c>
    </row>
    <row r="434" spans="1:8" x14ac:dyDescent="0.2">
      <c r="A434" s="1" t="s">
        <v>27</v>
      </c>
      <c r="B434" s="4">
        <v>1136</v>
      </c>
      <c r="C434" s="5">
        <v>100.00000000000001</v>
      </c>
      <c r="D434" s="4">
        <v>699</v>
      </c>
      <c r="E434" s="5">
        <v>100.01</v>
      </c>
      <c r="F434" s="4">
        <v>420</v>
      </c>
      <c r="G434" s="5">
        <v>100.00000000000001</v>
      </c>
      <c r="H434" s="4">
        <v>1</v>
      </c>
    </row>
    <row r="435" spans="1:8" x14ac:dyDescent="0.2">
      <c r="A435" s="2" t="s">
        <v>61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62</v>
      </c>
      <c r="B436" s="4">
        <v>155</v>
      </c>
      <c r="C436" s="5">
        <v>13.64</v>
      </c>
      <c r="D436" s="4">
        <v>91</v>
      </c>
      <c r="E436" s="5">
        <v>13.02</v>
      </c>
      <c r="F436" s="4">
        <v>64</v>
      </c>
      <c r="G436" s="5">
        <v>15.24</v>
      </c>
      <c r="H436" s="4">
        <v>0</v>
      </c>
    </row>
    <row r="437" spans="1:8" x14ac:dyDescent="0.2">
      <c r="A437" s="2" t="s">
        <v>63</v>
      </c>
      <c r="B437" s="4">
        <v>69</v>
      </c>
      <c r="C437" s="5">
        <v>6.07</v>
      </c>
      <c r="D437" s="4">
        <v>22</v>
      </c>
      <c r="E437" s="5">
        <v>3.15</v>
      </c>
      <c r="F437" s="4">
        <v>47</v>
      </c>
      <c r="G437" s="5">
        <v>11.19</v>
      </c>
      <c r="H437" s="4">
        <v>0</v>
      </c>
    </row>
    <row r="438" spans="1:8" x14ac:dyDescent="0.2">
      <c r="A438" s="2" t="s">
        <v>64</v>
      </c>
      <c r="B438" s="4">
        <v>4</v>
      </c>
      <c r="C438" s="5">
        <v>0.35</v>
      </c>
      <c r="D438" s="4">
        <v>0</v>
      </c>
      <c r="E438" s="5">
        <v>0</v>
      </c>
      <c r="F438" s="4">
        <v>2</v>
      </c>
      <c r="G438" s="5">
        <v>0.48</v>
      </c>
      <c r="H438" s="4">
        <v>0</v>
      </c>
    </row>
    <row r="439" spans="1:8" x14ac:dyDescent="0.2">
      <c r="A439" s="2" t="s">
        <v>65</v>
      </c>
      <c r="B439" s="4">
        <v>7</v>
      </c>
      <c r="C439" s="5">
        <v>0.62</v>
      </c>
      <c r="D439" s="4">
        <v>0</v>
      </c>
      <c r="E439" s="5">
        <v>0</v>
      </c>
      <c r="F439" s="4">
        <v>7</v>
      </c>
      <c r="G439" s="5">
        <v>1.67</v>
      </c>
      <c r="H439" s="4">
        <v>0</v>
      </c>
    </row>
    <row r="440" spans="1:8" x14ac:dyDescent="0.2">
      <c r="A440" s="2" t="s">
        <v>66</v>
      </c>
      <c r="B440" s="4">
        <v>5</v>
      </c>
      <c r="C440" s="5">
        <v>0.44</v>
      </c>
      <c r="D440" s="4">
        <v>0</v>
      </c>
      <c r="E440" s="5">
        <v>0</v>
      </c>
      <c r="F440" s="4">
        <v>5</v>
      </c>
      <c r="G440" s="5">
        <v>1.19</v>
      </c>
      <c r="H440" s="4">
        <v>0</v>
      </c>
    </row>
    <row r="441" spans="1:8" x14ac:dyDescent="0.2">
      <c r="A441" s="2" t="s">
        <v>67</v>
      </c>
      <c r="B441" s="4">
        <v>270</v>
      </c>
      <c r="C441" s="5">
        <v>23.77</v>
      </c>
      <c r="D441" s="4">
        <v>150</v>
      </c>
      <c r="E441" s="5">
        <v>21.46</v>
      </c>
      <c r="F441" s="4">
        <v>120</v>
      </c>
      <c r="G441" s="5">
        <v>28.57</v>
      </c>
      <c r="H441" s="4">
        <v>0</v>
      </c>
    </row>
    <row r="442" spans="1:8" x14ac:dyDescent="0.2">
      <c r="A442" s="2" t="s">
        <v>68</v>
      </c>
      <c r="B442" s="4">
        <v>11</v>
      </c>
      <c r="C442" s="5">
        <v>0.97</v>
      </c>
      <c r="D442" s="4">
        <v>3</v>
      </c>
      <c r="E442" s="5">
        <v>0.43</v>
      </c>
      <c r="F442" s="4">
        <v>8</v>
      </c>
      <c r="G442" s="5">
        <v>1.9</v>
      </c>
      <c r="H442" s="4">
        <v>0</v>
      </c>
    </row>
    <row r="443" spans="1:8" x14ac:dyDescent="0.2">
      <c r="A443" s="2" t="s">
        <v>69</v>
      </c>
      <c r="B443" s="4">
        <v>107</v>
      </c>
      <c r="C443" s="5">
        <v>9.42</v>
      </c>
      <c r="D443" s="4">
        <v>65</v>
      </c>
      <c r="E443" s="5">
        <v>9.3000000000000007</v>
      </c>
      <c r="F443" s="4">
        <v>42</v>
      </c>
      <c r="G443" s="5">
        <v>10</v>
      </c>
      <c r="H443" s="4">
        <v>0</v>
      </c>
    </row>
    <row r="444" spans="1:8" x14ac:dyDescent="0.2">
      <c r="A444" s="2" t="s">
        <v>70</v>
      </c>
      <c r="B444" s="4">
        <v>43</v>
      </c>
      <c r="C444" s="5">
        <v>3.79</v>
      </c>
      <c r="D444" s="4">
        <v>23</v>
      </c>
      <c r="E444" s="5">
        <v>3.29</v>
      </c>
      <c r="F444" s="4">
        <v>19</v>
      </c>
      <c r="G444" s="5">
        <v>4.5199999999999996</v>
      </c>
      <c r="H444" s="4">
        <v>0</v>
      </c>
    </row>
    <row r="445" spans="1:8" x14ac:dyDescent="0.2">
      <c r="A445" s="2" t="s">
        <v>71</v>
      </c>
      <c r="B445" s="4">
        <v>216</v>
      </c>
      <c r="C445" s="5">
        <v>19.010000000000002</v>
      </c>
      <c r="D445" s="4">
        <v>183</v>
      </c>
      <c r="E445" s="5">
        <v>26.18</v>
      </c>
      <c r="F445" s="4">
        <v>33</v>
      </c>
      <c r="G445" s="5">
        <v>7.86</v>
      </c>
      <c r="H445" s="4">
        <v>0</v>
      </c>
    </row>
    <row r="446" spans="1:8" x14ac:dyDescent="0.2">
      <c r="A446" s="2" t="s">
        <v>72</v>
      </c>
      <c r="B446" s="4">
        <v>145</v>
      </c>
      <c r="C446" s="5">
        <v>12.76</v>
      </c>
      <c r="D446" s="4">
        <v>115</v>
      </c>
      <c r="E446" s="5">
        <v>16.45</v>
      </c>
      <c r="F446" s="4">
        <v>29</v>
      </c>
      <c r="G446" s="5">
        <v>6.9</v>
      </c>
      <c r="H446" s="4">
        <v>1</v>
      </c>
    </row>
    <row r="447" spans="1:8" x14ac:dyDescent="0.2">
      <c r="A447" s="2" t="s">
        <v>73</v>
      </c>
      <c r="B447" s="4">
        <v>36</v>
      </c>
      <c r="C447" s="5">
        <v>3.17</v>
      </c>
      <c r="D447" s="4">
        <v>18</v>
      </c>
      <c r="E447" s="5">
        <v>2.58</v>
      </c>
      <c r="F447" s="4">
        <v>7</v>
      </c>
      <c r="G447" s="5">
        <v>1.67</v>
      </c>
      <c r="H447" s="4">
        <v>0</v>
      </c>
    </row>
    <row r="448" spans="1:8" x14ac:dyDescent="0.2">
      <c r="A448" s="2" t="s">
        <v>74</v>
      </c>
      <c r="B448" s="4">
        <v>25</v>
      </c>
      <c r="C448" s="5">
        <v>2.2000000000000002</v>
      </c>
      <c r="D448" s="4">
        <v>12</v>
      </c>
      <c r="E448" s="5">
        <v>1.72</v>
      </c>
      <c r="F448" s="4">
        <v>12</v>
      </c>
      <c r="G448" s="5">
        <v>2.86</v>
      </c>
      <c r="H448" s="4">
        <v>0</v>
      </c>
    </row>
    <row r="449" spans="1:8" x14ac:dyDescent="0.2">
      <c r="A449" s="2" t="s">
        <v>75</v>
      </c>
      <c r="B449" s="4">
        <v>43</v>
      </c>
      <c r="C449" s="5">
        <v>3.79</v>
      </c>
      <c r="D449" s="4">
        <v>17</v>
      </c>
      <c r="E449" s="5">
        <v>2.4300000000000002</v>
      </c>
      <c r="F449" s="4">
        <v>25</v>
      </c>
      <c r="G449" s="5">
        <v>5.95</v>
      </c>
      <c r="H449" s="4">
        <v>0</v>
      </c>
    </row>
    <row r="450" spans="1:8" x14ac:dyDescent="0.2">
      <c r="A450" s="1" t="s">
        <v>28</v>
      </c>
      <c r="B450" s="4">
        <v>1607</v>
      </c>
      <c r="C450" s="5">
        <v>99.99</v>
      </c>
      <c r="D450" s="4">
        <v>650</v>
      </c>
      <c r="E450" s="5">
        <v>100.00000000000001</v>
      </c>
      <c r="F450" s="4">
        <v>953</v>
      </c>
      <c r="G450" s="5">
        <v>99.97999999999999</v>
      </c>
      <c r="H450" s="4">
        <v>1</v>
      </c>
    </row>
    <row r="451" spans="1:8" x14ac:dyDescent="0.2">
      <c r="A451" s="2" t="s">
        <v>61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62</v>
      </c>
      <c r="B452" s="4">
        <v>323</v>
      </c>
      <c r="C452" s="5">
        <v>20.100000000000001</v>
      </c>
      <c r="D452" s="4">
        <v>48</v>
      </c>
      <c r="E452" s="5">
        <v>7.38</v>
      </c>
      <c r="F452" s="4">
        <v>275</v>
      </c>
      <c r="G452" s="5">
        <v>28.86</v>
      </c>
      <c r="H452" s="4">
        <v>0</v>
      </c>
    </row>
    <row r="453" spans="1:8" x14ac:dyDescent="0.2">
      <c r="A453" s="2" t="s">
        <v>63</v>
      </c>
      <c r="B453" s="4">
        <v>172</v>
      </c>
      <c r="C453" s="5">
        <v>10.7</v>
      </c>
      <c r="D453" s="4">
        <v>47</v>
      </c>
      <c r="E453" s="5">
        <v>7.23</v>
      </c>
      <c r="F453" s="4">
        <v>125</v>
      </c>
      <c r="G453" s="5">
        <v>13.12</v>
      </c>
      <c r="H453" s="4">
        <v>0</v>
      </c>
    </row>
    <row r="454" spans="1:8" x14ac:dyDescent="0.2">
      <c r="A454" s="2" t="s">
        <v>64</v>
      </c>
      <c r="B454" s="4">
        <v>1</v>
      </c>
      <c r="C454" s="5">
        <v>0.06</v>
      </c>
      <c r="D454" s="4">
        <v>0</v>
      </c>
      <c r="E454" s="5">
        <v>0</v>
      </c>
      <c r="F454" s="4">
        <v>1</v>
      </c>
      <c r="G454" s="5">
        <v>0.1</v>
      </c>
      <c r="H454" s="4">
        <v>0</v>
      </c>
    </row>
    <row r="455" spans="1:8" x14ac:dyDescent="0.2">
      <c r="A455" s="2" t="s">
        <v>65</v>
      </c>
      <c r="B455" s="4">
        <v>21</v>
      </c>
      <c r="C455" s="5">
        <v>1.31</v>
      </c>
      <c r="D455" s="4">
        <v>0</v>
      </c>
      <c r="E455" s="5">
        <v>0</v>
      </c>
      <c r="F455" s="4">
        <v>21</v>
      </c>
      <c r="G455" s="5">
        <v>2.2000000000000002</v>
      </c>
      <c r="H455" s="4">
        <v>0</v>
      </c>
    </row>
    <row r="456" spans="1:8" x14ac:dyDescent="0.2">
      <c r="A456" s="2" t="s">
        <v>66</v>
      </c>
      <c r="B456" s="4">
        <v>18</v>
      </c>
      <c r="C456" s="5">
        <v>1.1200000000000001</v>
      </c>
      <c r="D456" s="4">
        <v>7</v>
      </c>
      <c r="E456" s="5">
        <v>1.08</v>
      </c>
      <c r="F456" s="4">
        <v>10</v>
      </c>
      <c r="G456" s="5">
        <v>1.05</v>
      </c>
      <c r="H456" s="4">
        <v>1</v>
      </c>
    </row>
    <row r="457" spans="1:8" x14ac:dyDescent="0.2">
      <c r="A457" s="2" t="s">
        <v>67</v>
      </c>
      <c r="B457" s="4">
        <v>274</v>
      </c>
      <c r="C457" s="5">
        <v>17.05</v>
      </c>
      <c r="D457" s="4">
        <v>103</v>
      </c>
      <c r="E457" s="5">
        <v>15.85</v>
      </c>
      <c r="F457" s="4">
        <v>171</v>
      </c>
      <c r="G457" s="5">
        <v>17.940000000000001</v>
      </c>
      <c r="H457" s="4">
        <v>0</v>
      </c>
    </row>
    <row r="458" spans="1:8" x14ac:dyDescent="0.2">
      <c r="A458" s="2" t="s">
        <v>68</v>
      </c>
      <c r="B458" s="4">
        <v>7</v>
      </c>
      <c r="C458" s="5">
        <v>0.44</v>
      </c>
      <c r="D458" s="4">
        <v>0</v>
      </c>
      <c r="E458" s="5">
        <v>0</v>
      </c>
      <c r="F458" s="4">
        <v>7</v>
      </c>
      <c r="G458" s="5">
        <v>0.73</v>
      </c>
      <c r="H458" s="4">
        <v>0</v>
      </c>
    </row>
    <row r="459" spans="1:8" x14ac:dyDescent="0.2">
      <c r="A459" s="2" t="s">
        <v>69</v>
      </c>
      <c r="B459" s="4">
        <v>114</v>
      </c>
      <c r="C459" s="5">
        <v>7.09</v>
      </c>
      <c r="D459" s="4">
        <v>16</v>
      </c>
      <c r="E459" s="5">
        <v>2.46</v>
      </c>
      <c r="F459" s="4">
        <v>98</v>
      </c>
      <c r="G459" s="5">
        <v>10.28</v>
      </c>
      <c r="H459" s="4">
        <v>0</v>
      </c>
    </row>
    <row r="460" spans="1:8" x14ac:dyDescent="0.2">
      <c r="A460" s="2" t="s">
        <v>70</v>
      </c>
      <c r="B460" s="4">
        <v>83</v>
      </c>
      <c r="C460" s="5">
        <v>5.16</v>
      </c>
      <c r="D460" s="4">
        <v>26</v>
      </c>
      <c r="E460" s="5">
        <v>4</v>
      </c>
      <c r="F460" s="4">
        <v>57</v>
      </c>
      <c r="G460" s="5">
        <v>5.98</v>
      </c>
      <c r="H460" s="4">
        <v>0</v>
      </c>
    </row>
    <row r="461" spans="1:8" x14ac:dyDescent="0.2">
      <c r="A461" s="2" t="s">
        <v>71</v>
      </c>
      <c r="B461" s="4">
        <v>150</v>
      </c>
      <c r="C461" s="5">
        <v>9.33</v>
      </c>
      <c r="D461" s="4">
        <v>121</v>
      </c>
      <c r="E461" s="5">
        <v>18.62</v>
      </c>
      <c r="F461" s="4">
        <v>29</v>
      </c>
      <c r="G461" s="5">
        <v>3.04</v>
      </c>
      <c r="H461" s="4">
        <v>0</v>
      </c>
    </row>
    <row r="462" spans="1:8" x14ac:dyDescent="0.2">
      <c r="A462" s="2" t="s">
        <v>72</v>
      </c>
      <c r="B462" s="4">
        <v>213</v>
      </c>
      <c r="C462" s="5">
        <v>13.25</v>
      </c>
      <c r="D462" s="4">
        <v>157</v>
      </c>
      <c r="E462" s="5">
        <v>24.15</v>
      </c>
      <c r="F462" s="4">
        <v>55</v>
      </c>
      <c r="G462" s="5">
        <v>5.77</v>
      </c>
      <c r="H462" s="4">
        <v>0</v>
      </c>
    </row>
    <row r="463" spans="1:8" x14ac:dyDescent="0.2">
      <c r="A463" s="2" t="s">
        <v>73</v>
      </c>
      <c r="B463" s="4">
        <v>58</v>
      </c>
      <c r="C463" s="5">
        <v>3.61</v>
      </c>
      <c r="D463" s="4">
        <v>39</v>
      </c>
      <c r="E463" s="5">
        <v>6</v>
      </c>
      <c r="F463" s="4">
        <v>19</v>
      </c>
      <c r="G463" s="5">
        <v>1.99</v>
      </c>
      <c r="H463" s="4">
        <v>0</v>
      </c>
    </row>
    <row r="464" spans="1:8" x14ac:dyDescent="0.2">
      <c r="A464" s="2" t="s">
        <v>74</v>
      </c>
      <c r="B464" s="4">
        <v>110</v>
      </c>
      <c r="C464" s="5">
        <v>6.85</v>
      </c>
      <c r="D464" s="4">
        <v>66</v>
      </c>
      <c r="E464" s="5">
        <v>10.15</v>
      </c>
      <c r="F464" s="4">
        <v>44</v>
      </c>
      <c r="G464" s="5">
        <v>4.62</v>
      </c>
      <c r="H464" s="4">
        <v>0</v>
      </c>
    </row>
    <row r="465" spans="1:8" x14ac:dyDescent="0.2">
      <c r="A465" s="2" t="s">
        <v>75</v>
      </c>
      <c r="B465" s="4">
        <v>63</v>
      </c>
      <c r="C465" s="5">
        <v>3.92</v>
      </c>
      <c r="D465" s="4">
        <v>20</v>
      </c>
      <c r="E465" s="5">
        <v>3.08</v>
      </c>
      <c r="F465" s="4">
        <v>41</v>
      </c>
      <c r="G465" s="5">
        <v>4.3</v>
      </c>
      <c r="H465" s="4">
        <v>0</v>
      </c>
    </row>
    <row r="466" spans="1:8" x14ac:dyDescent="0.2">
      <c r="A466" s="1" t="s">
        <v>29</v>
      </c>
      <c r="B466" s="4">
        <v>1787</v>
      </c>
      <c r="C466" s="5">
        <v>100.00999999999999</v>
      </c>
      <c r="D466" s="4">
        <v>975</v>
      </c>
      <c r="E466" s="5">
        <v>100.01</v>
      </c>
      <c r="F466" s="4">
        <v>800</v>
      </c>
      <c r="G466" s="5">
        <v>100.03</v>
      </c>
      <c r="H466" s="4">
        <v>7</v>
      </c>
    </row>
    <row r="467" spans="1:8" x14ac:dyDescent="0.2">
      <c r="A467" s="2" t="s">
        <v>61</v>
      </c>
      <c r="B467" s="4">
        <v>2</v>
      </c>
      <c r="C467" s="5">
        <v>0.11</v>
      </c>
      <c r="D467" s="4">
        <v>0</v>
      </c>
      <c r="E467" s="5">
        <v>0</v>
      </c>
      <c r="F467" s="4">
        <v>2</v>
      </c>
      <c r="G467" s="5">
        <v>0.25</v>
      </c>
      <c r="H467" s="4">
        <v>0</v>
      </c>
    </row>
    <row r="468" spans="1:8" x14ac:dyDescent="0.2">
      <c r="A468" s="2" t="s">
        <v>62</v>
      </c>
      <c r="B468" s="4">
        <v>295</v>
      </c>
      <c r="C468" s="5">
        <v>16.510000000000002</v>
      </c>
      <c r="D468" s="4">
        <v>87</v>
      </c>
      <c r="E468" s="5">
        <v>8.92</v>
      </c>
      <c r="F468" s="4">
        <v>208</v>
      </c>
      <c r="G468" s="5">
        <v>26</v>
      </c>
      <c r="H468" s="4">
        <v>0</v>
      </c>
    </row>
    <row r="469" spans="1:8" x14ac:dyDescent="0.2">
      <c r="A469" s="2" t="s">
        <v>63</v>
      </c>
      <c r="B469" s="4">
        <v>79</v>
      </c>
      <c r="C469" s="5">
        <v>4.42</v>
      </c>
      <c r="D469" s="4">
        <v>23</v>
      </c>
      <c r="E469" s="5">
        <v>2.36</v>
      </c>
      <c r="F469" s="4">
        <v>56</v>
      </c>
      <c r="G469" s="5">
        <v>7</v>
      </c>
      <c r="H469" s="4">
        <v>0</v>
      </c>
    </row>
    <row r="470" spans="1:8" x14ac:dyDescent="0.2">
      <c r="A470" s="2" t="s">
        <v>64</v>
      </c>
      <c r="B470" s="4">
        <v>1</v>
      </c>
      <c r="C470" s="5">
        <v>0.06</v>
      </c>
      <c r="D470" s="4">
        <v>0</v>
      </c>
      <c r="E470" s="5">
        <v>0</v>
      </c>
      <c r="F470" s="4">
        <v>1</v>
      </c>
      <c r="G470" s="5">
        <v>0.13</v>
      </c>
      <c r="H470" s="4">
        <v>0</v>
      </c>
    </row>
    <row r="471" spans="1:8" x14ac:dyDescent="0.2">
      <c r="A471" s="2" t="s">
        <v>65</v>
      </c>
      <c r="B471" s="4">
        <v>5</v>
      </c>
      <c r="C471" s="5">
        <v>0.28000000000000003</v>
      </c>
      <c r="D471" s="4">
        <v>1</v>
      </c>
      <c r="E471" s="5">
        <v>0.1</v>
      </c>
      <c r="F471" s="4">
        <v>4</v>
      </c>
      <c r="G471" s="5">
        <v>0.5</v>
      </c>
      <c r="H471" s="4">
        <v>0</v>
      </c>
    </row>
    <row r="472" spans="1:8" x14ac:dyDescent="0.2">
      <c r="A472" s="2" t="s">
        <v>66</v>
      </c>
      <c r="B472" s="4">
        <v>20</v>
      </c>
      <c r="C472" s="5">
        <v>1.1200000000000001</v>
      </c>
      <c r="D472" s="4">
        <v>3</v>
      </c>
      <c r="E472" s="5">
        <v>0.31</v>
      </c>
      <c r="F472" s="4">
        <v>17</v>
      </c>
      <c r="G472" s="5">
        <v>2.13</v>
      </c>
      <c r="H472" s="4">
        <v>0</v>
      </c>
    </row>
    <row r="473" spans="1:8" x14ac:dyDescent="0.2">
      <c r="A473" s="2" t="s">
        <v>67</v>
      </c>
      <c r="B473" s="4">
        <v>313</v>
      </c>
      <c r="C473" s="5">
        <v>17.52</v>
      </c>
      <c r="D473" s="4">
        <v>125</v>
      </c>
      <c r="E473" s="5">
        <v>12.82</v>
      </c>
      <c r="F473" s="4">
        <v>188</v>
      </c>
      <c r="G473" s="5">
        <v>23.5</v>
      </c>
      <c r="H473" s="4">
        <v>0</v>
      </c>
    </row>
    <row r="474" spans="1:8" x14ac:dyDescent="0.2">
      <c r="A474" s="2" t="s">
        <v>68</v>
      </c>
      <c r="B474" s="4">
        <v>13</v>
      </c>
      <c r="C474" s="5">
        <v>0.73</v>
      </c>
      <c r="D474" s="4">
        <v>2</v>
      </c>
      <c r="E474" s="5">
        <v>0.21</v>
      </c>
      <c r="F474" s="4">
        <v>11</v>
      </c>
      <c r="G474" s="5">
        <v>1.38</v>
      </c>
      <c r="H474" s="4">
        <v>0</v>
      </c>
    </row>
    <row r="475" spans="1:8" x14ac:dyDescent="0.2">
      <c r="A475" s="2" t="s">
        <v>69</v>
      </c>
      <c r="B475" s="4">
        <v>166</v>
      </c>
      <c r="C475" s="5">
        <v>9.2899999999999991</v>
      </c>
      <c r="D475" s="4">
        <v>49</v>
      </c>
      <c r="E475" s="5">
        <v>5.03</v>
      </c>
      <c r="F475" s="4">
        <v>117</v>
      </c>
      <c r="G475" s="5">
        <v>14.63</v>
      </c>
      <c r="H475" s="4">
        <v>0</v>
      </c>
    </row>
    <row r="476" spans="1:8" x14ac:dyDescent="0.2">
      <c r="A476" s="2" t="s">
        <v>70</v>
      </c>
      <c r="B476" s="4">
        <v>74</v>
      </c>
      <c r="C476" s="5">
        <v>4.1399999999999997</v>
      </c>
      <c r="D476" s="4">
        <v>30</v>
      </c>
      <c r="E476" s="5">
        <v>3.08</v>
      </c>
      <c r="F476" s="4">
        <v>44</v>
      </c>
      <c r="G476" s="5">
        <v>5.5</v>
      </c>
      <c r="H476" s="4">
        <v>0</v>
      </c>
    </row>
    <row r="477" spans="1:8" x14ac:dyDescent="0.2">
      <c r="A477" s="2" t="s">
        <v>71</v>
      </c>
      <c r="B477" s="4">
        <v>357</v>
      </c>
      <c r="C477" s="5">
        <v>19.98</v>
      </c>
      <c r="D477" s="4">
        <v>315</v>
      </c>
      <c r="E477" s="5">
        <v>32.31</v>
      </c>
      <c r="F477" s="4">
        <v>41</v>
      </c>
      <c r="G477" s="5">
        <v>5.13</v>
      </c>
      <c r="H477" s="4">
        <v>1</v>
      </c>
    </row>
    <row r="478" spans="1:8" x14ac:dyDescent="0.2">
      <c r="A478" s="2" t="s">
        <v>72</v>
      </c>
      <c r="B478" s="4">
        <v>256</v>
      </c>
      <c r="C478" s="5">
        <v>14.33</v>
      </c>
      <c r="D478" s="4">
        <v>214</v>
      </c>
      <c r="E478" s="5">
        <v>21.95</v>
      </c>
      <c r="F478" s="4">
        <v>41</v>
      </c>
      <c r="G478" s="5">
        <v>5.13</v>
      </c>
      <c r="H478" s="4">
        <v>1</v>
      </c>
    </row>
    <row r="479" spans="1:8" x14ac:dyDescent="0.2">
      <c r="A479" s="2" t="s">
        <v>73</v>
      </c>
      <c r="B479" s="4">
        <v>64</v>
      </c>
      <c r="C479" s="5">
        <v>3.58</v>
      </c>
      <c r="D479" s="4">
        <v>48</v>
      </c>
      <c r="E479" s="5">
        <v>4.92</v>
      </c>
      <c r="F479" s="4">
        <v>14</v>
      </c>
      <c r="G479" s="5">
        <v>1.75</v>
      </c>
      <c r="H479" s="4">
        <v>0</v>
      </c>
    </row>
    <row r="480" spans="1:8" x14ac:dyDescent="0.2">
      <c r="A480" s="2" t="s">
        <v>74</v>
      </c>
      <c r="B480" s="4">
        <v>81</v>
      </c>
      <c r="C480" s="5">
        <v>4.53</v>
      </c>
      <c r="D480" s="4">
        <v>50</v>
      </c>
      <c r="E480" s="5">
        <v>5.13</v>
      </c>
      <c r="F480" s="4">
        <v>28</v>
      </c>
      <c r="G480" s="5">
        <v>3.5</v>
      </c>
      <c r="H480" s="4">
        <v>1</v>
      </c>
    </row>
    <row r="481" spans="1:8" x14ac:dyDescent="0.2">
      <c r="A481" s="2" t="s">
        <v>75</v>
      </c>
      <c r="B481" s="4">
        <v>61</v>
      </c>
      <c r="C481" s="5">
        <v>3.41</v>
      </c>
      <c r="D481" s="4">
        <v>28</v>
      </c>
      <c r="E481" s="5">
        <v>2.87</v>
      </c>
      <c r="F481" s="4">
        <v>28</v>
      </c>
      <c r="G481" s="5">
        <v>3.5</v>
      </c>
      <c r="H481" s="4">
        <v>4</v>
      </c>
    </row>
    <row r="482" spans="1:8" x14ac:dyDescent="0.2">
      <c r="A482" s="1" t="s">
        <v>30</v>
      </c>
      <c r="B482" s="4">
        <v>1042</v>
      </c>
      <c r="C482" s="5">
        <v>100</v>
      </c>
      <c r="D482" s="4">
        <v>586</v>
      </c>
      <c r="E482" s="5">
        <v>100.01</v>
      </c>
      <c r="F482" s="4">
        <v>451</v>
      </c>
      <c r="G482" s="5">
        <v>99.97999999999999</v>
      </c>
      <c r="H482" s="4">
        <v>1</v>
      </c>
    </row>
    <row r="483" spans="1:8" x14ac:dyDescent="0.2">
      <c r="A483" s="2" t="s">
        <v>61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62</v>
      </c>
      <c r="B484" s="4">
        <v>215</v>
      </c>
      <c r="C484" s="5">
        <v>20.63</v>
      </c>
      <c r="D484" s="4">
        <v>85</v>
      </c>
      <c r="E484" s="5">
        <v>14.51</v>
      </c>
      <c r="F484" s="4">
        <v>130</v>
      </c>
      <c r="G484" s="5">
        <v>28.82</v>
      </c>
      <c r="H484" s="4">
        <v>0</v>
      </c>
    </row>
    <row r="485" spans="1:8" x14ac:dyDescent="0.2">
      <c r="A485" s="2" t="s">
        <v>63</v>
      </c>
      <c r="B485" s="4">
        <v>91</v>
      </c>
      <c r="C485" s="5">
        <v>8.73</v>
      </c>
      <c r="D485" s="4">
        <v>35</v>
      </c>
      <c r="E485" s="5">
        <v>5.97</v>
      </c>
      <c r="F485" s="4">
        <v>56</v>
      </c>
      <c r="G485" s="5">
        <v>12.42</v>
      </c>
      <c r="H485" s="4">
        <v>0</v>
      </c>
    </row>
    <row r="486" spans="1:8" x14ac:dyDescent="0.2">
      <c r="A486" s="2" t="s">
        <v>64</v>
      </c>
      <c r="B486" s="4">
        <v>3</v>
      </c>
      <c r="C486" s="5">
        <v>0.28999999999999998</v>
      </c>
      <c r="D486" s="4">
        <v>0</v>
      </c>
      <c r="E486" s="5">
        <v>0</v>
      </c>
      <c r="F486" s="4">
        <v>2</v>
      </c>
      <c r="G486" s="5">
        <v>0.44</v>
      </c>
      <c r="H486" s="4">
        <v>0</v>
      </c>
    </row>
    <row r="487" spans="1:8" x14ac:dyDescent="0.2">
      <c r="A487" s="2" t="s">
        <v>65</v>
      </c>
      <c r="B487" s="4">
        <v>7</v>
      </c>
      <c r="C487" s="5">
        <v>0.67</v>
      </c>
      <c r="D487" s="4">
        <v>1</v>
      </c>
      <c r="E487" s="5">
        <v>0.17</v>
      </c>
      <c r="F487" s="4">
        <v>6</v>
      </c>
      <c r="G487" s="5">
        <v>1.33</v>
      </c>
      <c r="H487" s="4">
        <v>0</v>
      </c>
    </row>
    <row r="488" spans="1:8" x14ac:dyDescent="0.2">
      <c r="A488" s="2" t="s">
        <v>66</v>
      </c>
      <c r="B488" s="4">
        <v>10</v>
      </c>
      <c r="C488" s="5">
        <v>0.96</v>
      </c>
      <c r="D488" s="4">
        <v>4</v>
      </c>
      <c r="E488" s="5">
        <v>0.68</v>
      </c>
      <c r="F488" s="4">
        <v>5</v>
      </c>
      <c r="G488" s="5">
        <v>1.1100000000000001</v>
      </c>
      <c r="H488" s="4">
        <v>1</v>
      </c>
    </row>
    <row r="489" spans="1:8" x14ac:dyDescent="0.2">
      <c r="A489" s="2" t="s">
        <v>67</v>
      </c>
      <c r="B489" s="4">
        <v>231</v>
      </c>
      <c r="C489" s="5">
        <v>22.17</v>
      </c>
      <c r="D489" s="4">
        <v>121</v>
      </c>
      <c r="E489" s="5">
        <v>20.65</v>
      </c>
      <c r="F489" s="4">
        <v>110</v>
      </c>
      <c r="G489" s="5">
        <v>24.39</v>
      </c>
      <c r="H489" s="4">
        <v>0</v>
      </c>
    </row>
    <row r="490" spans="1:8" x14ac:dyDescent="0.2">
      <c r="A490" s="2" t="s">
        <v>68</v>
      </c>
      <c r="B490" s="4">
        <v>4</v>
      </c>
      <c r="C490" s="5">
        <v>0.38</v>
      </c>
      <c r="D490" s="4">
        <v>2</v>
      </c>
      <c r="E490" s="5">
        <v>0.34</v>
      </c>
      <c r="F490" s="4">
        <v>2</v>
      </c>
      <c r="G490" s="5">
        <v>0.44</v>
      </c>
      <c r="H490" s="4">
        <v>0</v>
      </c>
    </row>
    <row r="491" spans="1:8" x14ac:dyDescent="0.2">
      <c r="A491" s="2" t="s">
        <v>69</v>
      </c>
      <c r="B491" s="4">
        <v>38</v>
      </c>
      <c r="C491" s="5">
        <v>3.65</v>
      </c>
      <c r="D491" s="4">
        <v>12</v>
      </c>
      <c r="E491" s="5">
        <v>2.0499999999999998</v>
      </c>
      <c r="F491" s="4">
        <v>26</v>
      </c>
      <c r="G491" s="5">
        <v>5.76</v>
      </c>
      <c r="H491" s="4">
        <v>0</v>
      </c>
    </row>
    <row r="492" spans="1:8" x14ac:dyDescent="0.2">
      <c r="A492" s="2" t="s">
        <v>70</v>
      </c>
      <c r="B492" s="4">
        <v>40</v>
      </c>
      <c r="C492" s="5">
        <v>3.84</v>
      </c>
      <c r="D492" s="4">
        <v>23</v>
      </c>
      <c r="E492" s="5">
        <v>3.92</v>
      </c>
      <c r="F492" s="4">
        <v>17</v>
      </c>
      <c r="G492" s="5">
        <v>3.77</v>
      </c>
      <c r="H492" s="4">
        <v>0</v>
      </c>
    </row>
    <row r="493" spans="1:8" x14ac:dyDescent="0.2">
      <c r="A493" s="2" t="s">
        <v>71</v>
      </c>
      <c r="B493" s="4">
        <v>124</v>
      </c>
      <c r="C493" s="5">
        <v>11.9</v>
      </c>
      <c r="D493" s="4">
        <v>101</v>
      </c>
      <c r="E493" s="5">
        <v>17.239999999999998</v>
      </c>
      <c r="F493" s="4">
        <v>22</v>
      </c>
      <c r="G493" s="5">
        <v>4.88</v>
      </c>
      <c r="H493" s="4">
        <v>0</v>
      </c>
    </row>
    <row r="494" spans="1:8" x14ac:dyDescent="0.2">
      <c r="A494" s="2" t="s">
        <v>72</v>
      </c>
      <c r="B494" s="4">
        <v>162</v>
      </c>
      <c r="C494" s="5">
        <v>15.55</v>
      </c>
      <c r="D494" s="4">
        <v>136</v>
      </c>
      <c r="E494" s="5">
        <v>23.21</v>
      </c>
      <c r="F494" s="4">
        <v>26</v>
      </c>
      <c r="G494" s="5">
        <v>5.76</v>
      </c>
      <c r="H494" s="4">
        <v>0</v>
      </c>
    </row>
    <row r="495" spans="1:8" x14ac:dyDescent="0.2">
      <c r="A495" s="2" t="s">
        <v>73</v>
      </c>
      <c r="B495" s="4">
        <v>21</v>
      </c>
      <c r="C495" s="5">
        <v>2.02</v>
      </c>
      <c r="D495" s="4">
        <v>14</v>
      </c>
      <c r="E495" s="5">
        <v>2.39</v>
      </c>
      <c r="F495" s="4">
        <v>6</v>
      </c>
      <c r="G495" s="5">
        <v>1.33</v>
      </c>
      <c r="H495" s="4">
        <v>0</v>
      </c>
    </row>
    <row r="496" spans="1:8" x14ac:dyDescent="0.2">
      <c r="A496" s="2" t="s">
        <v>74</v>
      </c>
      <c r="B496" s="4">
        <v>50</v>
      </c>
      <c r="C496" s="5">
        <v>4.8</v>
      </c>
      <c r="D496" s="4">
        <v>26</v>
      </c>
      <c r="E496" s="5">
        <v>4.4400000000000004</v>
      </c>
      <c r="F496" s="4">
        <v>23</v>
      </c>
      <c r="G496" s="5">
        <v>5.0999999999999996</v>
      </c>
      <c r="H496" s="4">
        <v>0</v>
      </c>
    </row>
    <row r="497" spans="1:8" x14ac:dyDescent="0.2">
      <c r="A497" s="2" t="s">
        <v>75</v>
      </c>
      <c r="B497" s="4">
        <v>46</v>
      </c>
      <c r="C497" s="5">
        <v>4.41</v>
      </c>
      <c r="D497" s="4">
        <v>26</v>
      </c>
      <c r="E497" s="5">
        <v>4.4400000000000004</v>
      </c>
      <c r="F497" s="4">
        <v>20</v>
      </c>
      <c r="G497" s="5">
        <v>4.43</v>
      </c>
      <c r="H497" s="4">
        <v>0</v>
      </c>
    </row>
    <row r="498" spans="1:8" x14ac:dyDescent="0.2">
      <c r="A498" s="1" t="s">
        <v>31</v>
      </c>
      <c r="B498" s="4">
        <v>2069</v>
      </c>
      <c r="C498" s="5">
        <v>99.99</v>
      </c>
      <c r="D498" s="4">
        <v>526</v>
      </c>
      <c r="E498" s="5">
        <v>99.97999999999999</v>
      </c>
      <c r="F498" s="4">
        <v>1539</v>
      </c>
      <c r="G498" s="5">
        <v>99.990000000000009</v>
      </c>
      <c r="H498" s="4">
        <v>2</v>
      </c>
    </row>
    <row r="499" spans="1:8" x14ac:dyDescent="0.2">
      <c r="A499" s="2" t="s">
        <v>61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62</v>
      </c>
      <c r="B500" s="4">
        <v>198</v>
      </c>
      <c r="C500" s="5">
        <v>9.57</v>
      </c>
      <c r="D500" s="4">
        <v>13</v>
      </c>
      <c r="E500" s="5">
        <v>2.4700000000000002</v>
      </c>
      <c r="F500" s="4">
        <v>185</v>
      </c>
      <c r="G500" s="5">
        <v>12.02</v>
      </c>
      <c r="H500" s="4">
        <v>0</v>
      </c>
    </row>
    <row r="501" spans="1:8" x14ac:dyDescent="0.2">
      <c r="A501" s="2" t="s">
        <v>63</v>
      </c>
      <c r="B501" s="4">
        <v>115</v>
      </c>
      <c r="C501" s="5">
        <v>5.56</v>
      </c>
      <c r="D501" s="4">
        <v>13</v>
      </c>
      <c r="E501" s="5">
        <v>2.4700000000000002</v>
      </c>
      <c r="F501" s="4">
        <v>102</v>
      </c>
      <c r="G501" s="5">
        <v>6.63</v>
      </c>
      <c r="H501" s="4">
        <v>0</v>
      </c>
    </row>
    <row r="502" spans="1:8" x14ac:dyDescent="0.2">
      <c r="A502" s="2" t="s">
        <v>64</v>
      </c>
      <c r="B502" s="4">
        <v>6</v>
      </c>
      <c r="C502" s="5">
        <v>0.28999999999999998</v>
      </c>
      <c r="D502" s="4">
        <v>0</v>
      </c>
      <c r="E502" s="5">
        <v>0</v>
      </c>
      <c r="F502" s="4">
        <v>6</v>
      </c>
      <c r="G502" s="5">
        <v>0.39</v>
      </c>
      <c r="H502" s="4">
        <v>0</v>
      </c>
    </row>
    <row r="503" spans="1:8" x14ac:dyDescent="0.2">
      <c r="A503" s="2" t="s">
        <v>65</v>
      </c>
      <c r="B503" s="4">
        <v>96</v>
      </c>
      <c r="C503" s="5">
        <v>4.6399999999999997</v>
      </c>
      <c r="D503" s="4">
        <v>0</v>
      </c>
      <c r="E503" s="5">
        <v>0</v>
      </c>
      <c r="F503" s="4">
        <v>96</v>
      </c>
      <c r="G503" s="5">
        <v>6.24</v>
      </c>
      <c r="H503" s="4">
        <v>0</v>
      </c>
    </row>
    <row r="504" spans="1:8" x14ac:dyDescent="0.2">
      <c r="A504" s="2" t="s">
        <v>66</v>
      </c>
      <c r="B504" s="4">
        <v>31</v>
      </c>
      <c r="C504" s="5">
        <v>1.5</v>
      </c>
      <c r="D504" s="4">
        <v>2</v>
      </c>
      <c r="E504" s="5">
        <v>0.38</v>
      </c>
      <c r="F504" s="4">
        <v>29</v>
      </c>
      <c r="G504" s="5">
        <v>1.88</v>
      </c>
      <c r="H504" s="4">
        <v>0</v>
      </c>
    </row>
    <row r="505" spans="1:8" x14ac:dyDescent="0.2">
      <c r="A505" s="2" t="s">
        <v>67</v>
      </c>
      <c r="B505" s="4">
        <v>429</v>
      </c>
      <c r="C505" s="5">
        <v>20.73</v>
      </c>
      <c r="D505" s="4">
        <v>78</v>
      </c>
      <c r="E505" s="5">
        <v>14.83</v>
      </c>
      <c r="F505" s="4">
        <v>350</v>
      </c>
      <c r="G505" s="5">
        <v>22.74</v>
      </c>
      <c r="H505" s="4">
        <v>1</v>
      </c>
    </row>
    <row r="506" spans="1:8" x14ac:dyDescent="0.2">
      <c r="A506" s="2" t="s">
        <v>68</v>
      </c>
      <c r="B506" s="4">
        <v>17</v>
      </c>
      <c r="C506" s="5">
        <v>0.82</v>
      </c>
      <c r="D506" s="4">
        <v>0</v>
      </c>
      <c r="E506" s="5">
        <v>0</v>
      </c>
      <c r="F506" s="4">
        <v>17</v>
      </c>
      <c r="G506" s="5">
        <v>1.1000000000000001</v>
      </c>
      <c r="H506" s="4">
        <v>0</v>
      </c>
    </row>
    <row r="507" spans="1:8" x14ac:dyDescent="0.2">
      <c r="A507" s="2" t="s">
        <v>69</v>
      </c>
      <c r="B507" s="4">
        <v>297</v>
      </c>
      <c r="C507" s="5">
        <v>14.35</v>
      </c>
      <c r="D507" s="4">
        <v>26</v>
      </c>
      <c r="E507" s="5">
        <v>4.9400000000000004</v>
      </c>
      <c r="F507" s="4">
        <v>271</v>
      </c>
      <c r="G507" s="5">
        <v>17.61</v>
      </c>
      <c r="H507" s="4">
        <v>0</v>
      </c>
    </row>
    <row r="508" spans="1:8" x14ac:dyDescent="0.2">
      <c r="A508" s="2" t="s">
        <v>70</v>
      </c>
      <c r="B508" s="4">
        <v>180</v>
      </c>
      <c r="C508" s="5">
        <v>8.6999999999999993</v>
      </c>
      <c r="D508" s="4">
        <v>30</v>
      </c>
      <c r="E508" s="5">
        <v>5.7</v>
      </c>
      <c r="F508" s="4">
        <v>150</v>
      </c>
      <c r="G508" s="5">
        <v>9.75</v>
      </c>
      <c r="H508" s="4">
        <v>0</v>
      </c>
    </row>
    <row r="509" spans="1:8" x14ac:dyDescent="0.2">
      <c r="A509" s="2" t="s">
        <v>71</v>
      </c>
      <c r="B509" s="4">
        <v>195</v>
      </c>
      <c r="C509" s="5">
        <v>9.42</v>
      </c>
      <c r="D509" s="4">
        <v>121</v>
      </c>
      <c r="E509" s="5">
        <v>23</v>
      </c>
      <c r="F509" s="4">
        <v>74</v>
      </c>
      <c r="G509" s="5">
        <v>4.8099999999999996</v>
      </c>
      <c r="H509" s="4">
        <v>0</v>
      </c>
    </row>
    <row r="510" spans="1:8" x14ac:dyDescent="0.2">
      <c r="A510" s="2" t="s">
        <v>72</v>
      </c>
      <c r="B510" s="4">
        <v>227</v>
      </c>
      <c r="C510" s="5">
        <v>10.97</v>
      </c>
      <c r="D510" s="4">
        <v>131</v>
      </c>
      <c r="E510" s="5">
        <v>24.9</v>
      </c>
      <c r="F510" s="4">
        <v>95</v>
      </c>
      <c r="G510" s="5">
        <v>6.17</v>
      </c>
      <c r="H510" s="4">
        <v>0</v>
      </c>
    </row>
    <row r="511" spans="1:8" x14ac:dyDescent="0.2">
      <c r="A511" s="2" t="s">
        <v>73</v>
      </c>
      <c r="B511" s="4">
        <v>80</v>
      </c>
      <c r="C511" s="5">
        <v>3.87</v>
      </c>
      <c r="D511" s="4">
        <v>37</v>
      </c>
      <c r="E511" s="5">
        <v>7.03</v>
      </c>
      <c r="F511" s="4">
        <v>42</v>
      </c>
      <c r="G511" s="5">
        <v>2.73</v>
      </c>
      <c r="H511" s="4">
        <v>1</v>
      </c>
    </row>
    <row r="512" spans="1:8" x14ac:dyDescent="0.2">
      <c r="A512" s="2" t="s">
        <v>74</v>
      </c>
      <c r="B512" s="4">
        <v>97</v>
      </c>
      <c r="C512" s="5">
        <v>4.6900000000000004</v>
      </c>
      <c r="D512" s="4">
        <v>66</v>
      </c>
      <c r="E512" s="5">
        <v>12.55</v>
      </c>
      <c r="F512" s="4">
        <v>31</v>
      </c>
      <c r="G512" s="5">
        <v>2.0099999999999998</v>
      </c>
      <c r="H512" s="4">
        <v>0</v>
      </c>
    </row>
    <row r="513" spans="1:8" x14ac:dyDescent="0.2">
      <c r="A513" s="2" t="s">
        <v>75</v>
      </c>
      <c r="B513" s="4">
        <v>101</v>
      </c>
      <c r="C513" s="5">
        <v>4.88</v>
      </c>
      <c r="D513" s="4">
        <v>9</v>
      </c>
      <c r="E513" s="5">
        <v>1.71</v>
      </c>
      <c r="F513" s="4">
        <v>91</v>
      </c>
      <c r="G513" s="5">
        <v>5.91</v>
      </c>
      <c r="H513" s="4">
        <v>0</v>
      </c>
    </row>
    <row r="514" spans="1:8" x14ac:dyDescent="0.2">
      <c r="A514" s="1" t="s">
        <v>32</v>
      </c>
      <c r="B514" s="4">
        <v>1351</v>
      </c>
      <c r="C514" s="5">
        <v>100.01</v>
      </c>
      <c r="D514" s="4">
        <v>473</v>
      </c>
      <c r="E514" s="5">
        <v>100</v>
      </c>
      <c r="F514" s="4">
        <v>876</v>
      </c>
      <c r="G514" s="5">
        <v>100.01999999999998</v>
      </c>
      <c r="H514" s="4">
        <v>0</v>
      </c>
    </row>
    <row r="515" spans="1:8" x14ac:dyDescent="0.2">
      <c r="A515" s="2" t="s">
        <v>61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2">
      <c r="A516" s="2" t="s">
        <v>62</v>
      </c>
      <c r="B516" s="4">
        <v>231</v>
      </c>
      <c r="C516" s="5">
        <v>17.100000000000001</v>
      </c>
      <c r="D516" s="4">
        <v>20</v>
      </c>
      <c r="E516" s="5">
        <v>4.2300000000000004</v>
      </c>
      <c r="F516" s="4">
        <v>211</v>
      </c>
      <c r="G516" s="5">
        <v>24.09</v>
      </c>
      <c r="H516" s="4">
        <v>0</v>
      </c>
    </row>
    <row r="517" spans="1:8" x14ac:dyDescent="0.2">
      <c r="A517" s="2" t="s">
        <v>63</v>
      </c>
      <c r="B517" s="4">
        <v>74</v>
      </c>
      <c r="C517" s="5">
        <v>5.48</v>
      </c>
      <c r="D517" s="4">
        <v>12</v>
      </c>
      <c r="E517" s="5">
        <v>2.54</v>
      </c>
      <c r="F517" s="4">
        <v>62</v>
      </c>
      <c r="G517" s="5">
        <v>7.08</v>
      </c>
      <c r="H517" s="4">
        <v>0</v>
      </c>
    </row>
    <row r="518" spans="1:8" x14ac:dyDescent="0.2">
      <c r="A518" s="2" t="s">
        <v>64</v>
      </c>
      <c r="B518" s="4">
        <v>1</v>
      </c>
      <c r="C518" s="5">
        <v>7.0000000000000007E-2</v>
      </c>
      <c r="D518" s="4">
        <v>0</v>
      </c>
      <c r="E518" s="5">
        <v>0</v>
      </c>
      <c r="F518" s="4">
        <v>1</v>
      </c>
      <c r="G518" s="5">
        <v>0.11</v>
      </c>
      <c r="H518" s="4">
        <v>0</v>
      </c>
    </row>
    <row r="519" spans="1:8" x14ac:dyDescent="0.2">
      <c r="A519" s="2" t="s">
        <v>65</v>
      </c>
      <c r="B519" s="4">
        <v>4</v>
      </c>
      <c r="C519" s="5">
        <v>0.3</v>
      </c>
      <c r="D519" s="4">
        <v>0</v>
      </c>
      <c r="E519" s="5">
        <v>0</v>
      </c>
      <c r="F519" s="4">
        <v>4</v>
      </c>
      <c r="G519" s="5">
        <v>0.46</v>
      </c>
      <c r="H519" s="4">
        <v>0</v>
      </c>
    </row>
    <row r="520" spans="1:8" x14ac:dyDescent="0.2">
      <c r="A520" s="2" t="s">
        <v>66</v>
      </c>
      <c r="B520" s="4">
        <v>13</v>
      </c>
      <c r="C520" s="5">
        <v>0.96</v>
      </c>
      <c r="D520" s="4">
        <v>0</v>
      </c>
      <c r="E520" s="5">
        <v>0</v>
      </c>
      <c r="F520" s="4">
        <v>13</v>
      </c>
      <c r="G520" s="5">
        <v>1.48</v>
      </c>
      <c r="H520" s="4">
        <v>0</v>
      </c>
    </row>
    <row r="521" spans="1:8" x14ac:dyDescent="0.2">
      <c r="A521" s="2" t="s">
        <v>67</v>
      </c>
      <c r="B521" s="4">
        <v>324</v>
      </c>
      <c r="C521" s="5">
        <v>23.98</v>
      </c>
      <c r="D521" s="4">
        <v>88</v>
      </c>
      <c r="E521" s="5">
        <v>18.600000000000001</v>
      </c>
      <c r="F521" s="4">
        <v>236</v>
      </c>
      <c r="G521" s="5">
        <v>26.94</v>
      </c>
      <c r="H521" s="4">
        <v>0</v>
      </c>
    </row>
    <row r="522" spans="1:8" x14ac:dyDescent="0.2">
      <c r="A522" s="2" t="s">
        <v>68</v>
      </c>
      <c r="B522" s="4">
        <v>9</v>
      </c>
      <c r="C522" s="5">
        <v>0.67</v>
      </c>
      <c r="D522" s="4">
        <v>0</v>
      </c>
      <c r="E522" s="5">
        <v>0</v>
      </c>
      <c r="F522" s="4">
        <v>9</v>
      </c>
      <c r="G522" s="5">
        <v>1.03</v>
      </c>
      <c r="H522" s="4">
        <v>0</v>
      </c>
    </row>
    <row r="523" spans="1:8" x14ac:dyDescent="0.2">
      <c r="A523" s="2" t="s">
        <v>69</v>
      </c>
      <c r="B523" s="4">
        <v>127</v>
      </c>
      <c r="C523" s="5">
        <v>9.4</v>
      </c>
      <c r="D523" s="4">
        <v>14</v>
      </c>
      <c r="E523" s="5">
        <v>2.96</v>
      </c>
      <c r="F523" s="4">
        <v>113</v>
      </c>
      <c r="G523" s="5">
        <v>12.9</v>
      </c>
      <c r="H523" s="4">
        <v>0</v>
      </c>
    </row>
    <row r="524" spans="1:8" x14ac:dyDescent="0.2">
      <c r="A524" s="2" t="s">
        <v>70</v>
      </c>
      <c r="B524" s="4">
        <v>74</v>
      </c>
      <c r="C524" s="5">
        <v>5.48</v>
      </c>
      <c r="D524" s="4">
        <v>24</v>
      </c>
      <c r="E524" s="5">
        <v>5.07</v>
      </c>
      <c r="F524" s="4">
        <v>50</v>
      </c>
      <c r="G524" s="5">
        <v>5.71</v>
      </c>
      <c r="H524" s="4">
        <v>0</v>
      </c>
    </row>
    <row r="525" spans="1:8" x14ac:dyDescent="0.2">
      <c r="A525" s="2" t="s">
        <v>71</v>
      </c>
      <c r="B525" s="4">
        <v>104</v>
      </c>
      <c r="C525" s="5">
        <v>7.7</v>
      </c>
      <c r="D525" s="4">
        <v>76</v>
      </c>
      <c r="E525" s="5">
        <v>16.07</v>
      </c>
      <c r="F525" s="4">
        <v>27</v>
      </c>
      <c r="G525" s="5">
        <v>3.08</v>
      </c>
      <c r="H525" s="4">
        <v>0</v>
      </c>
    </row>
    <row r="526" spans="1:8" x14ac:dyDescent="0.2">
      <c r="A526" s="2" t="s">
        <v>72</v>
      </c>
      <c r="B526" s="4">
        <v>187</v>
      </c>
      <c r="C526" s="5">
        <v>13.84</v>
      </c>
      <c r="D526" s="4">
        <v>128</v>
      </c>
      <c r="E526" s="5">
        <v>27.06</v>
      </c>
      <c r="F526" s="4">
        <v>59</v>
      </c>
      <c r="G526" s="5">
        <v>6.74</v>
      </c>
      <c r="H526" s="4">
        <v>0</v>
      </c>
    </row>
    <row r="527" spans="1:8" x14ac:dyDescent="0.2">
      <c r="A527" s="2" t="s">
        <v>73</v>
      </c>
      <c r="B527" s="4">
        <v>71</v>
      </c>
      <c r="C527" s="5">
        <v>5.26</v>
      </c>
      <c r="D527" s="4">
        <v>48</v>
      </c>
      <c r="E527" s="5">
        <v>10.15</v>
      </c>
      <c r="F527" s="4">
        <v>23</v>
      </c>
      <c r="G527" s="5">
        <v>2.63</v>
      </c>
      <c r="H527" s="4">
        <v>0</v>
      </c>
    </row>
    <row r="528" spans="1:8" x14ac:dyDescent="0.2">
      <c r="A528" s="2" t="s">
        <v>74</v>
      </c>
      <c r="B528" s="4">
        <v>75</v>
      </c>
      <c r="C528" s="5">
        <v>5.55</v>
      </c>
      <c r="D528" s="4">
        <v>47</v>
      </c>
      <c r="E528" s="5">
        <v>9.94</v>
      </c>
      <c r="F528" s="4">
        <v>28</v>
      </c>
      <c r="G528" s="5">
        <v>3.2</v>
      </c>
      <c r="H528" s="4">
        <v>0</v>
      </c>
    </row>
    <row r="529" spans="1:8" x14ac:dyDescent="0.2">
      <c r="A529" s="2" t="s">
        <v>75</v>
      </c>
      <c r="B529" s="4">
        <v>57</v>
      </c>
      <c r="C529" s="5">
        <v>4.22</v>
      </c>
      <c r="D529" s="4">
        <v>16</v>
      </c>
      <c r="E529" s="5">
        <v>3.38</v>
      </c>
      <c r="F529" s="4">
        <v>40</v>
      </c>
      <c r="G529" s="5">
        <v>4.57</v>
      </c>
      <c r="H529" s="4">
        <v>0</v>
      </c>
    </row>
    <row r="530" spans="1:8" x14ac:dyDescent="0.2">
      <c r="A530" s="1" t="s">
        <v>33</v>
      </c>
      <c r="B530" s="4">
        <v>1068</v>
      </c>
      <c r="C530" s="5">
        <v>100</v>
      </c>
      <c r="D530" s="4">
        <v>413</v>
      </c>
      <c r="E530" s="5">
        <v>100</v>
      </c>
      <c r="F530" s="4">
        <v>649</v>
      </c>
      <c r="G530" s="5">
        <v>99.98</v>
      </c>
      <c r="H530" s="4">
        <v>0</v>
      </c>
    </row>
    <row r="531" spans="1:8" x14ac:dyDescent="0.2">
      <c r="A531" s="2" t="s">
        <v>61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2">
      <c r="A532" s="2" t="s">
        <v>62</v>
      </c>
      <c r="B532" s="4">
        <v>250</v>
      </c>
      <c r="C532" s="5">
        <v>23.41</v>
      </c>
      <c r="D532" s="4">
        <v>36</v>
      </c>
      <c r="E532" s="5">
        <v>8.7200000000000006</v>
      </c>
      <c r="F532" s="4">
        <v>214</v>
      </c>
      <c r="G532" s="5">
        <v>32.97</v>
      </c>
      <c r="H532" s="4">
        <v>0</v>
      </c>
    </row>
    <row r="533" spans="1:8" x14ac:dyDescent="0.2">
      <c r="A533" s="2" t="s">
        <v>63</v>
      </c>
      <c r="B533" s="4">
        <v>66</v>
      </c>
      <c r="C533" s="5">
        <v>6.18</v>
      </c>
      <c r="D533" s="4">
        <v>12</v>
      </c>
      <c r="E533" s="5">
        <v>2.91</v>
      </c>
      <c r="F533" s="4">
        <v>54</v>
      </c>
      <c r="G533" s="5">
        <v>8.32</v>
      </c>
      <c r="H533" s="4">
        <v>0</v>
      </c>
    </row>
    <row r="534" spans="1:8" x14ac:dyDescent="0.2">
      <c r="A534" s="2" t="s">
        <v>64</v>
      </c>
      <c r="B534" s="4">
        <v>4</v>
      </c>
      <c r="C534" s="5">
        <v>0.37</v>
      </c>
      <c r="D534" s="4">
        <v>0</v>
      </c>
      <c r="E534" s="5">
        <v>0</v>
      </c>
      <c r="F534" s="4">
        <v>3</v>
      </c>
      <c r="G534" s="5">
        <v>0.46</v>
      </c>
      <c r="H534" s="4">
        <v>0</v>
      </c>
    </row>
    <row r="535" spans="1:8" x14ac:dyDescent="0.2">
      <c r="A535" s="2" t="s">
        <v>65</v>
      </c>
      <c r="B535" s="4">
        <v>6</v>
      </c>
      <c r="C535" s="5">
        <v>0.56000000000000005</v>
      </c>
      <c r="D535" s="4">
        <v>1</v>
      </c>
      <c r="E535" s="5">
        <v>0.24</v>
      </c>
      <c r="F535" s="4">
        <v>5</v>
      </c>
      <c r="G535" s="5">
        <v>0.77</v>
      </c>
      <c r="H535" s="4">
        <v>0</v>
      </c>
    </row>
    <row r="536" spans="1:8" x14ac:dyDescent="0.2">
      <c r="A536" s="2" t="s">
        <v>66</v>
      </c>
      <c r="B536" s="4">
        <v>28</v>
      </c>
      <c r="C536" s="5">
        <v>2.62</v>
      </c>
      <c r="D536" s="4">
        <v>0</v>
      </c>
      <c r="E536" s="5">
        <v>0</v>
      </c>
      <c r="F536" s="4">
        <v>28</v>
      </c>
      <c r="G536" s="5">
        <v>4.3099999999999996</v>
      </c>
      <c r="H536" s="4">
        <v>0</v>
      </c>
    </row>
    <row r="537" spans="1:8" x14ac:dyDescent="0.2">
      <c r="A537" s="2" t="s">
        <v>67</v>
      </c>
      <c r="B537" s="4">
        <v>176</v>
      </c>
      <c r="C537" s="5">
        <v>16.48</v>
      </c>
      <c r="D537" s="4">
        <v>72</v>
      </c>
      <c r="E537" s="5">
        <v>17.43</v>
      </c>
      <c r="F537" s="4">
        <v>104</v>
      </c>
      <c r="G537" s="5">
        <v>16.02</v>
      </c>
      <c r="H537" s="4">
        <v>0</v>
      </c>
    </row>
    <row r="538" spans="1:8" x14ac:dyDescent="0.2">
      <c r="A538" s="2" t="s">
        <v>68</v>
      </c>
      <c r="B538" s="4">
        <v>8</v>
      </c>
      <c r="C538" s="5">
        <v>0.75</v>
      </c>
      <c r="D538" s="4">
        <v>1</v>
      </c>
      <c r="E538" s="5">
        <v>0.24</v>
      </c>
      <c r="F538" s="4">
        <v>7</v>
      </c>
      <c r="G538" s="5">
        <v>1.08</v>
      </c>
      <c r="H538" s="4">
        <v>0</v>
      </c>
    </row>
    <row r="539" spans="1:8" x14ac:dyDescent="0.2">
      <c r="A539" s="2" t="s">
        <v>69</v>
      </c>
      <c r="B539" s="4">
        <v>96</v>
      </c>
      <c r="C539" s="5">
        <v>8.99</v>
      </c>
      <c r="D539" s="4">
        <v>28</v>
      </c>
      <c r="E539" s="5">
        <v>6.78</v>
      </c>
      <c r="F539" s="4">
        <v>67</v>
      </c>
      <c r="G539" s="5">
        <v>10.32</v>
      </c>
      <c r="H539" s="4">
        <v>0</v>
      </c>
    </row>
    <row r="540" spans="1:8" x14ac:dyDescent="0.2">
      <c r="A540" s="2" t="s">
        <v>70</v>
      </c>
      <c r="B540" s="4">
        <v>51</v>
      </c>
      <c r="C540" s="5">
        <v>4.78</v>
      </c>
      <c r="D540" s="4">
        <v>19</v>
      </c>
      <c r="E540" s="5">
        <v>4.5999999999999996</v>
      </c>
      <c r="F540" s="4">
        <v>32</v>
      </c>
      <c r="G540" s="5">
        <v>4.93</v>
      </c>
      <c r="H540" s="4">
        <v>0</v>
      </c>
    </row>
    <row r="541" spans="1:8" x14ac:dyDescent="0.2">
      <c r="A541" s="2" t="s">
        <v>71</v>
      </c>
      <c r="B541" s="4">
        <v>110</v>
      </c>
      <c r="C541" s="5">
        <v>10.3</v>
      </c>
      <c r="D541" s="4">
        <v>85</v>
      </c>
      <c r="E541" s="5">
        <v>20.58</v>
      </c>
      <c r="F541" s="4">
        <v>25</v>
      </c>
      <c r="G541" s="5">
        <v>3.85</v>
      </c>
      <c r="H541" s="4">
        <v>0</v>
      </c>
    </row>
    <row r="542" spans="1:8" x14ac:dyDescent="0.2">
      <c r="A542" s="2" t="s">
        <v>72</v>
      </c>
      <c r="B542" s="4">
        <v>125</v>
      </c>
      <c r="C542" s="5">
        <v>11.7</v>
      </c>
      <c r="D542" s="4">
        <v>106</v>
      </c>
      <c r="E542" s="5">
        <v>25.67</v>
      </c>
      <c r="F542" s="4">
        <v>19</v>
      </c>
      <c r="G542" s="5">
        <v>2.93</v>
      </c>
      <c r="H542" s="4">
        <v>0</v>
      </c>
    </row>
    <row r="543" spans="1:8" x14ac:dyDescent="0.2">
      <c r="A543" s="2" t="s">
        <v>73</v>
      </c>
      <c r="B543" s="4">
        <v>30</v>
      </c>
      <c r="C543" s="5">
        <v>2.81</v>
      </c>
      <c r="D543" s="4">
        <v>15</v>
      </c>
      <c r="E543" s="5">
        <v>3.63</v>
      </c>
      <c r="F543" s="4">
        <v>11</v>
      </c>
      <c r="G543" s="5">
        <v>1.69</v>
      </c>
      <c r="H543" s="4">
        <v>0</v>
      </c>
    </row>
    <row r="544" spans="1:8" x14ac:dyDescent="0.2">
      <c r="A544" s="2" t="s">
        <v>74</v>
      </c>
      <c r="B544" s="4">
        <v>69</v>
      </c>
      <c r="C544" s="5">
        <v>6.46</v>
      </c>
      <c r="D544" s="4">
        <v>25</v>
      </c>
      <c r="E544" s="5">
        <v>6.05</v>
      </c>
      <c r="F544" s="4">
        <v>44</v>
      </c>
      <c r="G544" s="5">
        <v>6.78</v>
      </c>
      <c r="H544" s="4">
        <v>0</v>
      </c>
    </row>
    <row r="545" spans="1:8" x14ac:dyDescent="0.2">
      <c r="A545" s="2" t="s">
        <v>75</v>
      </c>
      <c r="B545" s="4">
        <v>49</v>
      </c>
      <c r="C545" s="5">
        <v>4.59</v>
      </c>
      <c r="D545" s="4">
        <v>13</v>
      </c>
      <c r="E545" s="5">
        <v>3.15</v>
      </c>
      <c r="F545" s="4">
        <v>36</v>
      </c>
      <c r="G545" s="5">
        <v>5.55</v>
      </c>
      <c r="H545" s="4">
        <v>0</v>
      </c>
    </row>
    <row r="546" spans="1:8" x14ac:dyDescent="0.2">
      <c r="A546" s="1" t="s">
        <v>34</v>
      </c>
      <c r="B546" s="4">
        <v>1442</v>
      </c>
      <c r="C546" s="5">
        <v>99.99</v>
      </c>
      <c r="D546" s="4">
        <v>632</v>
      </c>
      <c r="E546" s="5">
        <v>100.00999999999999</v>
      </c>
      <c r="F546" s="4">
        <v>805</v>
      </c>
      <c r="G546" s="5">
        <v>100</v>
      </c>
      <c r="H546" s="4">
        <v>1</v>
      </c>
    </row>
    <row r="547" spans="1:8" x14ac:dyDescent="0.2">
      <c r="A547" s="2" t="s">
        <v>61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62</v>
      </c>
      <c r="B548" s="4">
        <v>330</v>
      </c>
      <c r="C548" s="5">
        <v>22.88</v>
      </c>
      <c r="D548" s="4">
        <v>89</v>
      </c>
      <c r="E548" s="5">
        <v>14.08</v>
      </c>
      <c r="F548" s="4">
        <v>241</v>
      </c>
      <c r="G548" s="5">
        <v>29.94</v>
      </c>
      <c r="H548" s="4">
        <v>0</v>
      </c>
    </row>
    <row r="549" spans="1:8" x14ac:dyDescent="0.2">
      <c r="A549" s="2" t="s">
        <v>63</v>
      </c>
      <c r="B549" s="4">
        <v>171</v>
      </c>
      <c r="C549" s="5">
        <v>11.86</v>
      </c>
      <c r="D549" s="4">
        <v>35</v>
      </c>
      <c r="E549" s="5">
        <v>5.54</v>
      </c>
      <c r="F549" s="4">
        <v>136</v>
      </c>
      <c r="G549" s="5">
        <v>16.89</v>
      </c>
      <c r="H549" s="4">
        <v>0</v>
      </c>
    </row>
    <row r="550" spans="1:8" x14ac:dyDescent="0.2">
      <c r="A550" s="2" t="s">
        <v>64</v>
      </c>
      <c r="B550" s="4">
        <v>2</v>
      </c>
      <c r="C550" s="5">
        <v>0.14000000000000001</v>
      </c>
      <c r="D550" s="4">
        <v>0</v>
      </c>
      <c r="E550" s="5">
        <v>0</v>
      </c>
      <c r="F550" s="4">
        <v>2</v>
      </c>
      <c r="G550" s="5">
        <v>0.25</v>
      </c>
      <c r="H550" s="4">
        <v>0</v>
      </c>
    </row>
    <row r="551" spans="1:8" x14ac:dyDescent="0.2">
      <c r="A551" s="2" t="s">
        <v>65</v>
      </c>
      <c r="B551" s="4">
        <v>6</v>
      </c>
      <c r="C551" s="5">
        <v>0.42</v>
      </c>
      <c r="D551" s="4">
        <v>0</v>
      </c>
      <c r="E551" s="5">
        <v>0</v>
      </c>
      <c r="F551" s="4">
        <v>6</v>
      </c>
      <c r="G551" s="5">
        <v>0.75</v>
      </c>
      <c r="H551" s="4">
        <v>0</v>
      </c>
    </row>
    <row r="552" spans="1:8" x14ac:dyDescent="0.2">
      <c r="A552" s="2" t="s">
        <v>66</v>
      </c>
      <c r="B552" s="4">
        <v>23</v>
      </c>
      <c r="C552" s="5">
        <v>1.6</v>
      </c>
      <c r="D552" s="4">
        <v>4</v>
      </c>
      <c r="E552" s="5">
        <v>0.63</v>
      </c>
      <c r="F552" s="4">
        <v>19</v>
      </c>
      <c r="G552" s="5">
        <v>2.36</v>
      </c>
      <c r="H552" s="4">
        <v>0</v>
      </c>
    </row>
    <row r="553" spans="1:8" x14ac:dyDescent="0.2">
      <c r="A553" s="2" t="s">
        <v>67</v>
      </c>
      <c r="B553" s="4">
        <v>257</v>
      </c>
      <c r="C553" s="5">
        <v>17.82</v>
      </c>
      <c r="D553" s="4">
        <v>90</v>
      </c>
      <c r="E553" s="5">
        <v>14.24</v>
      </c>
      <c r="F553" s="4">
        <v>166</v>
      </c>
      <c r="G553" s="5">
        <v>20.62</v>
      </c>
      <c r="H553" s="4">
        <v>1</v>
      </c>
    </row>
    <row r="554" spans="1:8" x14ac:dyDescent="0.2">
      <c r="A554" s="2" t="s">
        <v>68</v>
      </c>
      <c r="B554" s="4">
        <v>9</v>
      </c>
      <c r="C554" s="5">
        <v>0.62</v>
      </c>
      <c r="D554" s="4">
        <v>1</v>
      </c>
      <c r="E554" s="5">
        <v>0.16</v>
      </c>
      <c r="F554" s="4">
        <v>8</v>
      </c>
      <c r="G554" s="5">
        <v>0.99</v>
      </c>
      <c r="H554" s="4">
        <v>0</v>
      </c>
    </row>
    <row r="555" spans="1:8" x14ac:dyDescent="0.2">
      <c r="A555" s="2" t="s">
        <v>69</v>
      </c>
      <c r="B555" s="4">
        <v>104</v>
      </c>
      <c r="C555" s="5">
        <v>7.21</v>
      </c>
      <c r="D555" s="4">
        <v>35</v>
      </c>
      <c r="E555" s="5">
        <v>5.54</v>
      </c>
      <c r="F555" s="4">
        <v>68</v>
      </c>
      <c r="G555" s="5">
        <v>8.4499999999999993</v>
      </c>
      <c r="H555" s="4">
        <v>0</v>
      </c>
    </row>
    <row r="556" spans="1:8" x14ac:dyDescent="0.2">
      <c r="A556" s="2" t="s">
        <v>70</v>
      </c>
      <c r="B556" s="4">
        <v>54</v>
      </c>
      <c r="C556" s="5">
        <v>3.74</v>
      </c>
      <c r="D556" s="4">
        <v>28</v>
      </c>
      <c r="E556" s="5">
        <v>4.43</v>
      </c>
      <c r="F556" s="4">
        <v>25</v>
      </c>
      <c r="G556" s="5">
        <v>3.11</v>
      </c>
      <c r="H556" s="4">
        <v>0</v>
      </c>
    </row>
    <row r="557" spans="1:8" x14ac:dyDescent="0.2">
      <c r="A557" s="2" t="s">
        <v>71</v>
      </c>
      <c r="B557" s="4">
        <v>126</v>
      </c>
      <c r="C557" s="5">
        <v>8.74</v>
      </c>
      <c r="D557" s="4">
        <v>104</v>
      </c>
      <c r="E557" s="5">
        <v>16.46</v>
      </c>
      <c r="F557" s="4">
        <v>22</v>
      </c>
      <c r="G557" s="5">
        <v>2.73</v>
      </c>
      <c r="H557" s="4">
        <v>0</v>
      </c>
    </row>
    <row r="558" spans="1:8" x14ac:dyDescent="0.2">
      <c r="A558" s="2" t="s">
        <v>72</v>
      </c>
      <c r="B558" s="4">
        <v>167</v>
      </c>
      <c r="C558" s="5">
        <v>11.58</v>
      </c>
      <c r="D558" s="4">
        <v>137</v>
      </c>
      <c r="E558" s="5">
        <v>21.68</v>
      </c>
      <c r="F558" s="4">
        <v>30</v>
      </c>
      <c r="G558" s="5">
        <v>3.73</v>
      </c>
      <c r="H558" s="4">
        <v>0</v>
      </c>
    </row>
    <row r="559" spans="1:8" x14ac:dyDescent="0.2">
      <c r="A559" s="2" t="s">
        <v>73</v>
      </c>
      <c r="B559" s="4">
        <v>45</v>
      </c>
      <c r="C559" s="5">
        <v>3.12</v>
      </c>
      <c r="D559" s="4">
        <v>29</v>
      </c>
      <c r="E559" s="5">
        <v>4.59</v>
      </c>
      <c r="F559" s="4">
        <v>14</v>
      </c>
      <c r="G559" s="5">
        <v>1.74</v>
      </c>
      <c r="H559" s="4">
        <v>0</v>
      </c>
    </row>
    <row r="560" spans="1:8" x14ac:dyDescent="0.2">
      <c r="A560" s="2" t="s">
        <v>74</v>
      </c>
      <c r="B560" s="4">
        <v>61</v>
      </c>
      <c r="C560" s="5">
        <v>4.2300000000000004</v>
      </c>
      <c r="D560" s="4">
        <v>34</v>
      </c>
      <c r="E560" s="5">
        <v>5.38</v>
      </c>
      <c r="F560" s="4">
        <v>27</v>
      </c>
      <c r="G560" s="5">
        <v>3.35</v>
      </c>
      <c r="H560" s="4">
        <v>0</v>
      </c>
    </row>
    <row r="561" spans="1:8" x14ac:dyDescent="0.2">
      <c r="A561" s="2" t="s">
        <v>75</v>
      </c>
      <c r="B561" s="4">
        <v>87</v>
      </c>
      <c r="C561" s="5">
        <v>6.03</v>
      </c>
      <c r="D561" s="4">
        <v>46</v>
      </c>
      <c r="E561" s="5">
        <v>7.28</v>
      </c>
      <c r="F561" s="4">
        <v>41</v>
      </c>
      <c r="G561" s="5">
        <v>5.09</v>
      </c>
      <c r="H561" s="4">
        <v>0</v>
      </c>
    </row>
    <row r="562" spans="1:8" x14ac:dyDescent="0.2">
      <c r="A562" s="1" t="s">
        <v>35</v>
      </c>
      <c r="B562" s="4">
        <v>1225</v>
      </c>
      <c r="C562" s="5">
        <v>100</v>
      </c>
      <c r="D562" s="4">
        <v>470</v>
      </c>
      <c r="E562" s="5">
        <v>100</v>
      </c>
      <c r="F562" s="4">
        <v>741</v>
      </c>
      <c r="G562" s="5">
        <v>99.97</v>
      </c>
      <c r="H562" s="4">
        <v>0</v>
      </c>
    </row>
    <row r="563" spans="1:8" x14ac:dyDescent="0.2">
      <c r="A563" s="2" t="s">
        <v>61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62</v>
      </c>
      <c r="B564" s="4">
        <v>223</v>
      </c>
      <c r="C564" s="5">
        <v>18.2</v>
      </c>
      <c r="D564" s="4">
        <v>67</v>
      </c>
      <c r="E564" s="5">
        <v>14.26</v>
      </c>
      <c r="F564" s="4">
        <v>156</v>
      </c>
      <c r="G564" s="5">
        <v>21.05</v>
      </c>
      <c r="H564" s="4">
        <v>0</v>
      </c>
    </row>
    <row r="565" spans="1:8" x14ac:dyDescent="0.2">
      <c r="A565" s="2" t="s">
        <v>63</v>
      </c>
      <c r="B565" s="4">
        <v>60</v>
      </c>
      <c r="C565" s="5">
        <v>4.9000000000000004</v>
      </c>
      <c r="D565" s="4">
        <v>21</v>
      </c>
      <c r="E565" s="5">
        <v>4.47</v>
      </c>
      <c r="F565" s="4">
        <v>39</v>
      </c>
      <c r="G565" s="5">
        <v>5.26</v>
      </c>
      <c r="H565" s="4">
        <v>0</v>
      </c>
    </row>
    <row r="566" spans="1:8" x14ac:dyDescent="0.2">
      <c r="A566" s="2" t="s">
        <v>64</v>
      </c>
      <c r="B566" s="4">
        <v>7</v>
      </c>
      <c r="C566" s="5">
        <v>0.56999999999999995</v>
      </c>
      <c r="D566" s="4">
        <v>0</v>
      </c>
      <c r="E566" s="5">
        <v>0</v>
      </c>
      <c r="F566" s="4">
        <v>7</v>
      </c>
      <c r="G566" s="5">
        <v>0.94</v>
      </c>
      <c r="H566" s="4">
        <v>0</v>
      </c>
    </row>
    <row r="567" spans="1:8" x14ac:dyDescent="0.2">
      <c r="A567" s="2" t="s">
        <v>65</v>
      </c>
      <c r="B567" s="4">
        <v>24</v>
      </c>
      <c r="C567" s="5">
        <v>1.96</v>
      </c>
      <c r="D567" s="4">
        <v>1</v>
      </c>
      <c r="E567" s="5">
        <v>0.21</v>
      </c>
      <c r="F567" s="4">
        <v>23</v>
      </c>
      <c r="G567" s="5">
        <v>3.1</v>
      </c>
      <c r="H567" s="4">
        <v>0</v>
      </c>
    </row>
    <row r="568" spans="1:8" x14ac:dyDescent="0.2">
      <c r="A568" s="2" t="s">
        <v>66</v>
      </c>
      <c r="B568" s="4">
        <v>16</v>
      </c>
      <c r="C568" s="5">
        <v>1.31</v>
      </c>
      <c r="D568" s="4">
        <v>1</v>
      </c>
      <c r="E568" s="5">
        <v>0.21</v>
      </c>
      <c r="F568" s="4">
        <v>15</v>
      </c>
      <c r="G568" s="5">
        <v>2.02</v>
      </c>
      <c r="H568" s="4">
        <v>0</v>
      </c>
    </row>
    <row r="569" spans="1:8" x14ac:dyDescent="0.2">
      <c r="A569" s="2" t="s">
        <v>67</v>
      </c>
      <c r="B569" s="4">
        <v>277</v>
      </c>
      <c r="C569" s="5">
        <v>22.61</v>
      </c>
      <c r="D569" s="4">
        <v>90</v>
      </c>
      <c r="E569" s="5">
        <v>19.149999999999999</v>
      </c>
      <c r="F569" s="4">
        <v>187</v>
      </c>
      <c r="G569" s="5">
        <v>25.24</v>
      </c>
      <c r="H569" s="4">
        <v>0</v>
      </c>
    </row>
    <row r="570" spans="1:8" x14ac:dyDescent="0.2">
      <c r="A570" s="2" t="s">
        <v>68</v>
      </c>
      <c r="B570" s="4">
        <v>11</v>
      </c>
      <c r="C570" s="5">
        <v>0.9</v>
      </c>
      <c r="D570" s="4">
        <v>2</v>
      </c>
      <c r="E570" s="5">
        <v>0.43</v>
      </c>
      <c r="F570" s="4">
        <v>9</v>
      </c>
      <c r="G570" s="5">
        <v>1.21</v>
      </c>
      <c r="H570" s="4">
        <v>0</v>
      </c>
    </row>
    <row r="571" spans="1:8" x14ac:dyDescent="0.2">
      <c r="A571" s="2" t="s">
        <v>69</v>
      </c>
      <c r="B571" s="4">
        <v>81</v>
      </c>
      <c r="C571" s="5">
        <v>6.61</v>
      </c>
      <c r="D571" s="4">
        <v>26</v>
      </c>
      <c r="E571" s="5">
        <v>5.53</v>
      </c>
      <c r="F571" s="4">
        <v>55</v>
      </c>
      <c r="G571" s="5">
        <v>7.42</v>
      </c>
      <c r="H571" s="4">
        <v>0</v>
      </c>
    </row>
    <row r="572" spans="1:8" x14ac:dyDescent="0.2">
      <c r="A572" s="2" t="s">
        <v>70</v>
      </c>
      <c r="B572" s="4">
        <v>90</v>
      </c>
      <c r="C572" s="5">
        <v>7.35</v>
      </c>
      <c r="D572" s="4">
        <v>30</v>
      </c>
      <c r="E572" s="5">
        <v>6.38</v>
      </c>
      <c r="F572" s="4">
        <v>59</v>
      </c>
      <c r="G572" s="5">
        <v>7.96</v>
      </c>
      <c r="H572" s="4">
        <v>0</v>
      </c>
    </row>
    <row r="573" spans="1:8" x14ac:dyDescent="0.2">
      <c r="A573" s="2" t="s">
        <v>71</v>
      </c>
      <c r="B573" s="4">
        <v>96</v>
      </c>
      <c r="C573" s="5">
        <v>7.84</v>
      </c>
      <c r="D573" s="4">
        <v>61</v>
      </c>
      <c r="E573" s="5">
        <v>12.98</v>
      </c>
      <c r="F573" s="4">
        <v>33</v>
      </c>
      <c r="G573" s="5">
        <v>4.45</v>
      </c>
      <c r="H573" s="4">
        <v>0</v>
      </c>
    </row>
    <row r="574" spans="1:8" x14ac:dyDescent="0.2">
      <c r="A574" s="2" t="s">
        <v>72</v>
      </c>
      <c r="B574" s="4">
        <v>141</v>
      </c>
      <c r="C574" s="5">
        <v>11.51</v>
      </c>
      <c r="D574" s="4">
        <v>91</v>
      </c>
      <c r="E574" s="5">
        <v>19.36</v>
      </c>
      <c r="F574" s="4">
        <v>48</v>
      </c>
      <c r="G574" s="5">
        <v>6.48</v>
      </c>
      <c r="H574" s="4">
        <v>0</v>
      </c>
    </row>
    <row r="575" spans="1:8" x14ac:dyDescent="0.2">
      <c r="A575" s="2" t="s">
        <v>73</v>
      </c>
      <c r="B575" s="4">
        <v>57</v>
      </c>
      <c r="C575" s="5">
        <v>4.6500000000000004</v>
      </c>
      <c r="D575" s="4">
        <v>28</v>
      </c>
      <c r="E575" s="5">
        <v>5.96</v>
      </c>
      <c r="F575" s="4">
        <v>24</v>
      </c>
      <c r="G575" s="5">
        <v>3.24</v>
      </c>
      <c r="H575" s="4">
        <v>0</v>
      </c>
    </row>
    <row r="576" spans="1:8" x14ac:dyDescent="0.2">
      <c r="A576" s="2" t="s">
        <v>74</v>
      </c>
      <c r="B576" s="4">
        <v>69</v>
      </c>
      <c r="C576" s="5">
        <v>5.63</v>
      </c>
      <c r="D576" s="4">
        <v>29</v>
      </c>
      <c r="E576" s="5">
        <v>6.17</v>
      </c>
      <c r="F576" s="4">
        <v>39</v>
      </c>
      <c r="G576" s="5">
        <v>5.26</v>
      </c>
      <c r="H576" s="4">
        <v>0</v>
      </c>
    </row>
    <row r="577" spans="1:8" x14ac:dyDescent="0.2">
      <c r="A577" s="2" t="s">
        <v>75</v>
      </c>
      <c r="B577" s="4">
        <v>73</v>
      </c>
      <c r="C577" s="5">
        <v>5.96</v>
      </c>
      <c r="D577" s="4">
        <v>23</v>
      </c>
      <c r="E577" s="5">
        <v>4.8899999999999997</v>
      </c>
      <c r="F577" s="4">
        <v>47</v>
      </c>
      <c r="G577" s="5">
        <v>6.34</v>
      </c>
      <c r="H577" s="4">
        <v>0</v>
      </c>
    </row>
    <row r="578" spans="1:8" x14ac:dyDescent="0.2">
      <c r="A578" s="1" t="s">
        <v>36</v>
      </c>
      <c r="B578" s="4">
        <v>909</v>
      </c>
      <c r="C578" s="5">
        <v>99.99</v>
      </c>
      <c r="D578" s="4">
        <v>268</v>
      </c>
      <c r="E578" s="5">
        <v>100.02000000000001</v>
      </c>
      <c r="F578" s="4">
        <v>638</v>
      </c>
      <c r="G578" s="5">
        <v>100.00000000000001</v>
      </c>
      <c r="H578" s="4">
        <v>2</v>
      </c>
    </row>
    <row r="579" spans="1:8" x14ac:dyDescent="0.2">
      <c r="A579" s="2" t="s">
        <v>61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2">
      <c r="A580" s="2" t="s">
        <v>62</v>
      </c>
      <c r="B580" s="4">
        <v>180</v>
      </c>
      <c r="C580" s="5">
        <v>19.8</v>
      </c>
      <c r="D580" s="4">
        <v>40</v>
      </c>
      <c r="E580" s="5">
        <v>14.93</v>
      </c>
      <c r="F580" s="4">
        <v>140</v>
      </c>
      <c r="G580" s="5">
        <v>21.94</v>
      </c>
      <c r="H580" s="4">
        <v>0</v>
      </c>
    </row>
    <row r="581" spans="1:8" x14ac:dyDescent="0.2">
      <c r="A581" s="2" t="s">
        <v>63</v>
      </c>
      <c r="B581" s="4">
        <v>155</v>
      </c>
      <c r="C581" s="5">
        <v>17.05</v>
      </c>
      <c r="D581" s="4">
        <v>21</v>
      </c>
      <c r="E581" s="5">
        <v>7.84</v>
      </c>
      <c r="F581" s="4">
        <v>134</v>
      </c>
      <c r="G581" s="5">
        <v>21</v>
      </c>
      <c r="H581" s="4">
        <v>0</v>
      </c>
    </row>
    <row r="582" spans="1:8" x14ac:dyDescent="0.2">
      <c r="A582" s="2" t="s">
        <v>64</v>
      </c>
      <c r="B582" s="4">
        <v>0</v>
      </c>
      <c r="C582" s="5">
        <v>0</v>
      </c>
      <c r="D582" s="4">
        <v>0</v>
      </c>
      <c r="E582" s="5">
        <v>0</v>
      </c>
      <c r="F582" s="4">
        <v>0</v>
      </c>
      <c r="G582" s="5">
        <v>0</v>
      </c>
      <c r="H582" s="4">
        <v>0</v>
      </c>
    </row>
    <row r="583" spans="1:8" x14ac:dyDescent="0.2">
      <c r="A583" s="2" t="s">
        <v>65</v>
      </c>
      <c r="B583" s="4">
        <v>15</v>
      </c>
      <c r="C583" s="5">
        <v>1.65</v>
      </c>
      <c r="D583" s="4">
        <v>0</v>
      </c>
      <c r="E583" s="5">
        <v>0</v>
      </c>
      <c r="F583" s="4">
        <v>15</v>
      </c>
      <c r="G583" s="5">
        <v>2.35</v>
      </c>
      <c r="H583" s="4">
        <v>0</v>
      </c>
    </row>
    <row r="584" spans="1:8" x14ac:dyDescent="0.2">
      <c r="A584" s="2" t="s">
        <v>66</v>
      </c>
      <c r="B584" s="4">
        <v>21</v>
      </c>
      <c r="C584" s="5">
        <v>2.31</v>
      </c>
      <c r="D584" s="4">
        <v>0</v>
      </c>
      <c r="E584" s="5">
        <v>0</v>
      </c>
      <c r="F584" s="4">
        <v>21</v>
      </c>
      <c r="G584" s="5">
        <v>3.29</v>
      </c>
      <c r="H584" s="4">
        <v>0</v>
      </c>
    </row>
    <row r="585" spans="1:8" x14ac:dyDescent="0.2">
      <c r="A585" s="2" t="s">
        <v>67</v>
      </c>
      <c r="B585" s="4">
        <v>169</v>
      </c>
      <c r="C585" s="5">
        <v>18.59</v>
      </c>
      <c r="D585" s="4">
        <v>41</v>
      </c>
      <c r="E585" s="5">
        <v>15.3</v>
      </c>
      <c r="F585" s="4">
        <v>127</v>
      </c>
      <c r="G585" s="5">
        <v>19.91</v>
      </c>
      <c r="H585" s="4">
        <v>1</v>
      </c>
    </row>
    <row r="586" spans="1:8" x14ac:dyDescent="0.2">
      <c r="A586" s="2" t="s">
        <v>68</v>
      </c>
      <c r="B586" s="4">
        <v>2</v>
      </c>
      <c r="C586" s="5">
        <v>0.22</v>
      </c>
      <c r="D586" s="4">
        <v>0</v>
      </c>
      <c r="E586" s="5">
        <v>0</v>
      </c>
      <c r="F586" s="4">
        <v>2</v>
      </c>
      <c r="G586" s="5">
        <v>0.31</v>
      </c>
      <c r="H586" s="4">
        <v>0</v>
      </c>
    </row>
    <row r="587" spans="1:8" x14ac:dyDescent="0.2">
      <c r="A587" s="2" t="s">
        <v>69</v>
      </c>
      <c r="B587" s="4">
        <v>58</v>
      </c>
      <c r="C587" s="5">
        <v>6.38</v>
      </c>
      <c r="D587" s="4">
        <v>2</v>
      </c>
      <c r="E587" s="5">
        <v>0.75</v>
      </c>
      <c r="F587" s="4">
        <v>56</v>
      </c>
      <c r="G587" s="5">
        <v>8.7799999999999994</v>
      </c>
      <c r="H587" s="4">
        <v>0</v>
      </c>
    </row>
    <row r="588" spans="1:8" x14ac:dyDescent="0.2">
      <c r="A588" s="2" t="s">
        <v>70</v>
      </c>
      <c r="B588" s="4">
        <v>49</v>
      </c>
      <c r="C588" s="5">
        <v>5.39</v>
      </c>
      <c r="D588" s="4">
        <v>15</v>
      </c>
      <c r="E588" s="5">
        <v>5.6</v>
      </c>
      <c r="F588" s="4">
        <v>34</v>
      </c>
      <c r="G588" s="5">
        <v>5.33</v>
      </c>
      <c r="H588" s="4">
        <v>0</v>
      </c>
    </row>
    <row r="589" spans="1:8" x14ac:dyDescent="0.2">
      <c r="A589" s="2" t="s">
        <v>71</v>
      </c>
      <c r="B589" s="4">
        <v>57</v>
      </c>
      <c r="C589" s="5">
        <v>6.27</v>
      </c>
      <c r="D589" s="4">
        <v>44</v>
      </c>
      <c r="E589" s="5">
        <v>16.420000000000002</v>
      </c>
      <c r="F589" s="4">
        <v>13</v>
      </c>
      <c r="G589" s="5">
        <v>2.04</v>
      </c>
      <c r="H589" s="4">
        <v>0</v>
      </c>
    </row>
    <row r="590" spans="1:8" x14ac:dyDescent="0.2">
      <c r="A590" s="2" t="s">
        <v>72</v>
      </c>
      <c r="B590" s="4">
        <v>78</v>
      </c>
      <c r="C590" s="5">
        <v>8.58</v>
      </c>
      <c r="D590" s="4">
        <v>56</v>
      </c>
      <c r="E590" s="5">
        <v>20.9</v>
      </c>
      <c r="F590" s="4">
        <v>22</v>
      </c>
      <c r="G590" s="5">
        <v>3.45</v>
      </c>
      <c r="H590" s="4">
        <v>0</v>
      </c>
    </row>
    <row r="591" spans="1:8" x14ac:dyDescent="0.2">
      <c r="A591" s="2" t="s">
        <v>73</v>
      </c>
      <c r="B591" s="4">
        <v>42</v>
      </c>
      <c r="C591" s="5">
        <v>4.62</v>
      </c>
      <c r="D591" s="4">
        <v>17</v>
      </c>
      <c r="E591" s="5">
        <v>6.34</v>
      </c>
      <c r="F591" s="4">
        <v>24</v>
      </c>
      <c r="G591" s="5">
        <v>3.76</v>
      </c>
      <c r="H591" s="4">
        <v>0</v>
      </c>
    </row>
    <row r="592" spans="1:8" x14ac:dyDescent="0.2">
      <c r="A592" s="2" t="s">
        <v>74</v>
      </c>
      <c r="B592" s="4">
        <v>34</v>
      </c>
      <c r="C592" s="5">
        <v>3.74</v>
      </c>
      <c r="D592" s="4">
        <v>21</v>
      </c>
      <c r="E592" s="5">
        <v>7.84</v>
      </c>
      <c r="F592" s="4">
        <v>13</v>
      </c>
      <c r="G592" s="5">
        <v>2.04</v>
      </c>
      <c r="H592" s="4">
        <v>0</v>
      </c>
    </row>
    <row r="593" spans="1:8" x14ac:dyDescent="0.2">
      <c r="A593" s="2" t="s">
        <v>75</v>
      </c>
      <c r="B593" s="4">
        <v>49</v>
      </c>
      <c r="C593" s="5">
        <v>5.39</v>
      </c>
      <c r="D593" s="4">
        <v>11</v>
      </c>
      <c r="E593" s="5">
        <v>4.0999999999999996</v>
      </c>
      <c r="F593" s="4">
        <v>37</v>
      </c>
      <c r="G593" s="5">
        <v>5.8</v>
      </c>
      <c r="H593" s="4">
        <v>1</v>
      </c>
    </row>
    <row r="594" spans="1:8" x14ac:dyDescent="0.2">
      <c r="A594" s="1" t="s">
        <v>37</v>
      </c>
      <c r="B594" s="4">
        <v>859</v>
      </c>
      <c r="C594" s="5">
        <v>100.00999999999998</v>
      </c>
      <c r="D594" s="4">
        <v>375</v>
      </c>
      <c r="E594" s="5">
        <v>99.990000000000009</v>
      </c>
      <c r="F594" s="4">
        <v>478</v>
      </c>
      <c r="G594" s="5">
        <v>100</v>
      </c>
      <c r="H594" s="4">
        <v>1</v>
      </c>
    </row>
    <row r="595" spans="1:8" x14ac:dyDescent="0.2">
      <c r="A595" s="2" t="s">
        <v>61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2">
      <c r="A596" s="2" t="s">
        <v>62</v>
      </c>
      <c r="B596" s="4">
        <v>162</v>
      </c>
      <c r="C596" s="5">
        <v>18.86</v>
      </c>
      <c r="D596" s="4">
        <v>36</v>
      </c>
      <c r="E596" s="5">
        <v>9.6</v>
      </c>
      <c r="F596" s="4">
        <v>126</v>
      </c>
      <c r="G596" s="5">
        <v>26.36</v>
      </c>
      <c r="H596" s="4">
        <v>0</v>
      </c>
    </row>
    <row r="597" spans="1:8" x14ac:dyDescent="0.2">
      <c r="A597" s="2" t="s">
        <v>63</v>
      </c>
      <c r="B597" s="4">
        <v>42</v>
      </c>
      <c r="C597" s="5">
        <v>4.8899999999999997</v>
      </c>
      <c r="D597" s="4">
        <v>10</v>
      </c>
      <c r="E597" s="5">
        <v>2.67</v>
      </c>
      <c r="F597" s="4">
        <v>32</v>
      </c>
      <c r="G597" s="5">
        <v>6.69</v>
      </c>
      <c r="H597" s="4">
        <v>0</v>
      </c>
    </row>
    <row r="598" spans="1:8" x14ac:dyDescent="0.2">
      <c r="A598" s="2" t="s">
        <v>64</v>
      </c>
      <c r="B598" s="4">
        <v>3</v>
      </c>
      <c r="C598" s="5">
        <v>0.35</v>
      </c>
      <c r="D598" s="4">
        <v>0</v>
      </c>
      <c r="E598" s="5">
        <v>0</v>
      </c>
      <c r="F598" s="4">
        <v>3</v>
      </c>
      <c r="G598" s="5">
        <v>0.63</v>
      </c>
      <c r="H598" s="4">
        <v>0</v>
      </c>
    </row>
    <row r="599" spans="1:8" x14ac:dyDescent="0.2">
      <c r="A599" s="2" t="s">
        <v>65</v>
      </c>
      <c r="B599" s="4">
        <v>4</v>
      </c>
      <c r="C599" s="5">
        <v>0.47</v>
      </c>
      <c r="D599" s="4">
        <v>1</v>
      </c>
      <c r="E599" s="5">
        <v>0.27</v>
      </c>
      <c r="F599" s="4">
        <v>3</v>
      </c>
      <c r="G599" s="5">
        <v>0.63</v>
      </c>
      <c r="H599" s="4">
        <v>0</v>
      </c>
    </row>
    <row r="600" spans="1:8" x14ac:dyDescent="0.2">
      <c r="A600" s="2" t="s">
        <v>66</v>
      </c>
      <c r="B600" s="4">
        <v>26</v>
      </c>
      <c r="C600" s="5">
        <v>3.03</v>
      </c>
      <c r="D600" s="4">
        <v>2</v>
      </c>
      <c r="E600" s="5">
        <v>0.53</v>
      </c>
      <c r="F600" s="4">
        <v>24</v>
      </c>
      <c r="G600" s="5">
        <v>5.0199999999999996</v>
      </c>
      <c r="H600" s="4">
        <v>0</v>
      </c>
    </row>
    <row r="601" spans="1:8" x14ac:dyDescent="0.2">
      <c r="A601" s="2" t="s">
        <v>67</v>
      </c>
      <c r="B601" s="4">
        <v>166</v>
      </c>
      <c r="C601" s="5">
        <v>19.32</v>
      </c>
      <c r="D601" s="4">
        <v>62</v>
      </c>
      <c r="E601" s="5">
        <v>16.53</v>
      </c>
      <c r="F601" s="4">
        <v>104</v>
      </c>
      <c r="G601" s="5">
        <v>21.76</v>
      </c>
      <c r="H601" s="4">
        <v>0</v>
      </c>
    </row>
    <row r="602" spans="1:8" x14ac:dyDescent="0.2">
      <c r="A602" s="2" t="s">
        <v>68</v>
      </c>
      <c r="B602" s="4">
        <v>4</v>
      </c>
      <c r="C602" s="5">
        <v>0.47</v>
      </c>
      <c r="D602" s="4">
        <v>0</v>
      </c>
      <c r="E602" s="5">
        <v>0</v>
      </c>
      <c r="F602" s="4">
        <v>4</v>
      </c>
      <c r="G602" s="5">
        <v>0.84</v>
      </c>
      <c r="H602" s="4">
        <v>0</v>
      </c>
    </row>
    <row r="603" spans="1:8" x14ac:dyDescent="0.2">
      <c r="A603" s="2" t="s">
        <v>69</v>
      </c>
      <c r="B603" s="4">
        <v>97</v>
      </c>
      <c r="C603" s="5">
        <v>11.29</v>
      </c>
      <c r="D603" s="4">
        <v>26</v>
      </c>
      <c r="E603" s="5">
        <v>6.93</v>
      </c>
      <c r="F603" s="4">
        <v>71</v>
      </c>
      <c r="G603" s="5">
        <v>14.85</v>
      </c>
      <c r="H603" s="4">
        <v>0</v>
      </c>
    </row>
    <row r="604" spans="1:8" x14ac:dyDescent="0.2">
      <c r="A604" s="2" t="s">
        <v>70</v>
      </c>
      <c r="B604" s="4">
        <v>33</v>
      </c>
      <c r="C604" s="5">
        <v>3.84</v>
      </c>
      <c r="D604" s="4">
        <v>12</v>
      </c>
      <c r="E604" s="5">
        <v>3.2</v>
      </c>
      <c r="F604" s="4">
        <v>21</v>
      </c>
      <c r="G604" s="5">
        <v>4.3899999999999997</v>
      </c>
      <c r="H604" s="4">
        <v>0</v>
      </c>
    </row>
    <row r="605" spans="1:8" x14ac:dyDescent="0.2">
      <c r="A605" s="2" t="s">
        <v>71</v>
      </c>
      <c r="B605" s="4">
        <v>96</v>
      </c>
      <c r="C605" s="5">
        <v>11.18</v>
      </c>
      <c r="D605" s="4">
        <v>73</v>
      </c>
      <c r="E605" s="5">
        <v>19.47</v>
      </c>
      <c r="F605" s="4">
        <v>22</v>
      </c>
      <c r="G605" s="5">
        <v>4.5999999999999996</v>
      </c>
      <c r="H605" s="4">
        <v>0</v>
      </c>
    </row>
    <row r="606" spans="1:8" x14ac:dyDescent="0.2">
      <c r="A606" s="2" t="s">
        <v>72</v>
      </c>
      <c r="B606" s="4">
        <v>123</v>
      </c>
      <c r="C606" s="5">
        <v>14.32</v>
      </c>
      <c r="D606" s="4">
        <v>92</v>
      </c>
      <c r="E606" s="5">
        <v>24.53</v>
      </c>
      <c r="F606" s="4">
        <v>30</v>
      </c>
      <c r="G606" s="5">
        <v>6.28</v>
      </c>
      <c r="H606" s="4">
        <v>0</v>
      </c>
    </row>
    <row r="607" spans="1:8" x14ac:dyDescent="0.2">
      <c r="A607" s="2" t="s">
        <v>73</v>
      </c>
      <c r="B607" s="4">
        <v>21</v>
      </c>
      <c r="C607" s="5">
        <v>2.44</v>
      </c>
      <c r="D607" s="4">
        <v>17</v>
      </c>
      <c r="E607" s="5">
        <v>4.53</v>
      </c>
      <c r="F607" s="4">
        <v>4</v>
      </c>
      <c r="G607" s="5">
        <v>0.84</v>
      </c>
      <c r="H607" s="4">
        <v>0</v>
      </c>
    </row>
    <row r="608" spans="1:8" x14ac:dyDescent="0.2">
      <c r="A608" s="2" t="s">
        <v>74</v>
      </c>
      <c r="B608" s="4">
        <v>42</v>
      </c>
      <c r="C608" s="5">
        <v>4.8899999999999997</v>
      </c>
      <c r="D608" s="4">
        <v>29</v>
      </c>
      <c r="E608" s="5">
        <v>7.73</v>
      </c>
      <c r="F608" s="4">
        <v>12</v>
      </c>
      <c r="G608" s="5">
        <v>2.5099999999999998</v>
      </c>
      <c r="H608" s="4">
        <v>0</v>
      </c>
    </row>
    <row r="609" spans="1:8" x14ac:dyDescent="0.2">
      <c r="A609" s="2" t="s">
        <v>75</v>
      </c>
      <c r="B609" s="4">
        <v>40</v>
      </c>
      <c r="C609" s="5">
        <v>4.66</v>
      </c>
      <c r="D609" s="4">
        <v>15</v>
      </c>
      <c r="E609" s="5">
        <v>4</v>
      </c>
      <c r="F609" s="4">
        <v>22</v>
      </c>
      <c r="G609" s="5">
        <v>4.5999999999999996</v>
      </c>
      <c r="H609" s="4">
        <v>1</v>
      </c>
    </row>
    <row r="610" spans="1:8" x14ac:dyDescent="0.2">
      <c r="A610" s="1" t="s">
        <v>38</v>
      </c>
      <c r="B610" s="4">
        <v>1194</v>
      </c>
      <c r="C610" s="5">
        <v>100.01000000000002</v>
      </c>
      <c r="D610" s="4">
        <v>786</v>
      </c>
      <c r="E610" s="5">
        <v>99.980000000000018</v>
      </c>
      <c r="F610" s="4">
        <v>400</v>
      </c>
      <c r="G610" s="5">
        <v>100</v>
      </c>
      <c r="H610" s="4">
        <v>1</v>
      </c>
    </row>
    <row r="611" spans="1:8" x14ac:dyDescent="0.2">
      <c r="A611" s="2" t="s">
        <v>61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62</v>
      </c>
      <c r="B612" s="4">
        <v>223</v>
      </c>
      <c r="C612" s="5">
        <v>18.68</v>
      </c>
      <c r="D612" s="4">
        <v>133</v>
      </c>
      <c r="E612" s="5">
        <v>16.920000000000002</v>
      </c>
      <c r="F612" s="4">
        <v>90</v>
      </c>
      <c r="G612" s="5">
        <v>22.5</v>
      </c>
      <c r="H612" s="4">
        <v>0</v>
      </c>
    </row>
    <row r="613" spans="1:8" x14ac:dyDescent="0.2">
      <c r="A613" s="2" t="s">
        <v>63</v>
      </c>
      <c r="B613" s="4">
        <v>82</v>
      </c>
      <c r="C613" s="5">
        <v>6.87</v>
      </c>
      <c r="D613" s="4">
        <v>42</v>
      </c>
      <c r="E613" s="5">
        <v>5.34</v>
      </c>
      <c r="F613" s="4">
        <v>39</v>
      </c>
      <c r="G613" s="5">
        <v>9.75</v>
      </c>
      <c r="H613" s="4">
        <v>1</v>
      </c>
    </row>
    <row r="614" spans="1:8" x14ac:dyDescent="0.2">
      <c r="A614" s="2" t="s">
        <v>64</v>
      </c>
      <c r="B614" s="4">
        <v>3</v>
      </c>
      <c r="C614" s="5">
        <v>0.25</v>
      </c>
      <c r="D614" s="4">
        <v>0</v>
      </c>
      <c r="E614" s="5">
        <v>0</v>
      </c>
      <c r="F614" s="4">
        <v>2</v>
      </c>
      <c r="G614" s="5">
        <v>0.5</v>
      </c>
      <c r="H614" s="4">
        <v>0</v>
      </c>
    </row>
    <row r="615" spans="1:8" x14ac:dyDescent="0.2">
      <c r="A615" s="2" t="s">
        <v>65</v>
      </c>
      <c r="B615" s="4">
        <v>6</v>
      </c>
      <c r="C615" s="5">
        <v>0.5</v>
      </c>
      <c r="D615" s="4">
        <v>2</v>
      </c>
      <c r="E615" s="5">
        <v>0.25</v>
      </c>
      <c r="F615" s="4">
        <v>4</v>
      </c>
      <c r="G615" s="5">
        <v>1</v>
      </c>
      <c r="H615" s="4">
        <v>0</v>
      </c>
    </row>
    <row r="616" spans="1:8" x14ac:dyDescent="0.2">
      <c r="A616" s="2" t="s">
        <v>66</v>
      </c>
      <c r="B616" s="4">
        <v>13</v>
      </c>
      <c r="C616" s="5">
        <v>1.0900000000000001</v>
      </c>
      <c r="D616" s="4">
        <v>2</v>
      </c>
      <c r="E616" s="5">
        <v>0.25</v>
      </c>
      <c r="F616" s="4">
        <v>11</v>
      </c>
      <c r="G616" s="5">
        <v>2.75</v>
      </c>
      <c r="H616" s="4">
        <v>0</v>
      </c>
    </row>
    <row r="617" spans="1:8" x14ac:dyDescent="0.2">
      <c r="A617" s="2" t="s">
        <v>67</v>
      </c>
      <c r="B617" s="4">
        <v>280</v>
      </c>
      <c r="C617" s="5">
        <v>23.45</v>
      </c>
      <c r="D617" s="4">
        <v>170</v>
      </c>
      <c r="E617" s="5">
        <v>21.63</v>
      </c>
      <c r="F617" s="4">
        <v>110</v>
      </c>
      <c r="G617" s="5">
        <v>27.5</v>
      </c>
      <c r="H617" s="4">
        <v>0</v>
      </c>
    </row>
    <row r="618" spans="1:8" x14ac:dyDescent="0.2">
      <c r="A618" s="2" t="s">
        <v>68</v>
      </c>
      <c r="B618" s="4">
        <v>4</v>
      </c>
      <c r="C618" s="5">
        <v>0.34</v>
      </c>
      <c r="D618" s="4">
        <v>2</v>
      </c>
      <c r="E618" s="5">
        <v>0.25</v>
      </c>
      <c r="F618" s="4">
        <v>2</v>
      </c>
      <c r="G618" s="5">
        <v>0.5</v>
      </c>
      <c r="H618" s="4">
        <v>0</v>
      </c>
    </row>
    <row r="619" spans="1:8" x14ac:dyDescent="0.2">
      <c r="A619" s="2" t="s">
        <v>69</v>
      </c>
      <c r="B619" s="4">
        <v>63</v>
      </c>
      <c r="C619" s="5">
        <v>5.28</v>
      </c>
      <c r="D619" s="4">
        <v>29</v>
      </c>
      <c r="E619" s="5">
        <v>3.69</v>
      </c>
      <c r="F619" s="4">
        <v>33</v>
      </c>
      <c r="G619" s="5">
        <v>8.25</v>
      </c>
      <c r="H619" s="4">
        <v>0</v>
      </c>
    </row>
    <row r="620" spans="1:8" x14ac:dyDescent="0.2">
      <c r="A620" s="2" t="s">
        <v>70</v>
      </c>
      <c r="B620" s="4">
        <v>34</v>
      </c>
      <c r="C620" s="5">
        <v>2.85</v>
      </c>
      <c r="D620" s="4">
        <v>21</v>
      </c>
      <c r="E620" s="5">
        <v>2.67</v>
      </c>
      <c r="F620" s="4">
        <v>13</v>
      </c>
      <c r="G620" s="5">
        <v>3.25</v>
      </c>
      <c r="H620" s="4">
        <v>0</v>
      </c>
    </row>
    <row r="621" spans="1:8" x14ac:dyDescent="0.2">
      <c r="A621" s="2" t="s">
        <v>71</v>
      </c>
      <c r="B621" s="4">
        <v>211</v>
      </c>
      <c r="C621" s="5">
        <v>17.670000000000002</v>
      </c>
      <c r="D621" s="4">
        <v>178</v>
      </c>
      <c r="E621" s="5">
        <v>22.65</v>
      </c>
      <c r="F621" s="4">
        <v>33</v>
      </c>
      <c r="G621" s="5">
        <v>8.25</v>
      </c>
      <c r="H621" s="4">
        <v>0</v>
      </c>
    </row>
    <row r="622" spans="1:8" x14ac:dyDescent="0.2">
      <c r="A622" s="2" t="s">
        <v>72</v>
      </c>
      <c r="B622" s="4">
        <v>153</v>
      </c>
      <c r="C622" s="5">
        <v>12.81</v>
      </c>
      <c r="D622" s="4">
        <v>139</v>
      </c>
      <c r="E622" s="5">
        <v>17.68</v>
      </c>
      <c r="F622" s="4">
        <v>14</v>
      </c>
      <c r="G622" s="5">
        <v>3.5</v>
      </c>
      <c r="H622" s="4">
        <v>0</v>
      </c>
    </row>
    <row r="623" spans="1:8" x14ac:dyDescent="0.2">
      <c r="A623" s="2" t="s">
        <v>73</v>
      </c>
      <c r="B623" s="4">
        <v>26</v>
      </c>
      <c r="C623" s="5">
        <v>2.1800000000000002</v>
      </c>
      <c r="D623" s="4">
        <v>21</v>
      </c>
      <c r="E623" s="5">
        <v>2.67</v>
      </c>
      <c r="F623" s="4">
        <v>2</v>
      </c>
      <c r="G623" s="5">
        <v>0.5</v>
      </c>
      <c r="H623" s="4">
        <v>0</v>
      </c>
    </row>
    <row r="624" spans="1:8" x14ac:dyDescent="0.2">
      <c r="A624" s="2" t="s">
        <v>74</v>
      </c>
      <c r="B624" s="4">
        <v>54</v>
      </c>
      <c r="C624" s="5">
        <v>4.5199999999999996</v>
      </c>
      <c r="D624" s="4">
        <v>24</v>
      </c>
      <c r="E624" s="5">
        <v>3.05</v>
      </c>
      <c r="F624" s="4">
        <v>29</v>
      </c>
      <c r="G624" s="5">
        <v>7.25</v>
      </c>
      <c r="H624" s="4">
        <v>0</v>
      </c>
    </row>
    <row r="625" spans="1:8" x14ac:dyDescent="0.2">
      <c r="A625" s="2" t="s">
        <v>75</v>
      </c>
      <c r="B625" s="4">
        <v>42</v>
      </c>
      <c r="C625" s="5">
        <v>3.52</v>
      </c>
      <c r="D625" s="4">
        <v>23</v>
      </c>
      <c r="E625" s="5">
        <v>2.93</v>
      </c>
      <c r="F625" s="4">
        <v>18</v>
      </c>
      <c r="G625" s="5">
        <v>4.5</v>
      </c>
      <c r="H625" s="4">
        <v>0</v>
      </c>
    </row>
    <row r="626" spans="1:8" x14ac:dyDescent="0.2">
      <c r="A626" s="1" t="s">
        <v>39</v>
      </c>
      <c r="B626" s="4">
        <v>943</v>
      </c>
      <c r="C626" s="5">
        <v>100.00000000000001</v>
      </c>
      <c r="D626" s="4">
        <v>563</v>
      </c>
      <c r="E626" s="5">
        <v>100</v>
      </c>
      <c r="F626" s="4">
        <v>368</v>
      </c>
      <c r="G626" s="5">
        <v>99.990000000000023</v>
      </c>
      <c r="H626" s="4">
        <v>1</v>
      </c>
    </row>
    <row r="627" spans="1:8" x14ac:dyDescent="0.2">
      <c r="A627" s="2" t="s">
        <v>61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2">
      <c r="A628" s="2" t="s">
        <v>62</v>
      </c>
      <c r="B628" s="4">
        <v>232</v>
      </c>
      <c r="C628" s="5">
        <v>24.6</v>
      </c>
      <c r="D628" s="4">
        <v>115</v>
      </c>
      <c r="E628" s="5">
        <v>20.43</v>
      </c>
      <c r="F628" s="4">
        <v>117</v>
      </c>
      <c r="G628" s="5">
        <v>31.79</v>
      </c>
      <c r="H628" s="4">
        <v>0</v>
      </c>
    </row>
    <row r="629" spans="1:8" x14ac:dyDescent="0.2">
      <c r="A629" s="2" t="s">
        <v>63</v>
      </c>
      <c r="B629" s="4">
        <v>65</v>
      </c>
      <c r="C629" s="5">
        <v>6.89</v>
      </c>
      <c r="D629" s="4">
        <v>20</v>
      </c>
      <c r="E629" s="5">
        <v>3.55</v>
      </c>
      <c r="F629" s="4">
        <v>45</v>
      </c>
      <c r="G629" s="5">
        <v>12.23</v>
      </c>
      <c r="H629" s="4">
        <v>0</v>
      </c>
    </row>
    <row r="630" spans="1:8" x14ac:dyDescent="0.2">
      <c r="A630" s="2" t="s">
        <v>64</v>
      </c>
      <c r="B630" s="4">
        <v>3</v>
      </c>
      <c r="C630" s="5">
        <v>0.32</v>
      </c>
      <c r="D630" s="4">
        <v>0</v>
      </c>
      <c r="E630" s="5">
        <v>0</v>
      </c>
      <c r="F630" s="4">
        <v>3</v>
      </c>
      <c r="G630" s="5">
        <v>0.82</v>
      </c>
      <c r="H630" s="4">
        <v>0</v>
      </c>
    </row>
    <row r="631" spans="1:8" x14ac:dyDescent="0.2">
      <c r="A631" s="2" t="s">
        <v>65</v>
      </c>
      <c r="B631" s="4">
        <v>2</v>
      </c>
      <c r="C631" s="5">
        <v>0.21</v>
      </c>
      <c r="D631" s="4">
        <v>0</v>
      </c>
      <c r="E631" s="5">
        <v>0</v>
      </c>
      <c r="F631" s="4">
        <v>2</v>
      </c>
      <c r="G631" s="5">
        <v>0.54</v>
      </c>
      <c r="H631" s="4">
        <v>0</v>
      </c>
    </row>
    <row r="632" spans="1:8" x14ac:dyDescent="0.2">
      <c r="A632" s="2" t="s">
        <v>66</v>
      </c>
      <c r="B632" s="4">
        <v>10</v>
      </c>
      <c r="C632" s="5">
        <v>1.06</v>
      </c>
      <c r="D632" s="4">
        <v>3</v>
      </c>
      <c r="E632" s="5">
        <v>0.53</v>
      </c>
      <c r="F632" s="4">
        <v>7</v>
      </c>
      <c r="G632" s="5">
        <v>1.9</v>
      </c>
      <c r="H632" s="4">
        <v>0</v>
      </c>
    </row>
    <row r="633" spans="1:8" x14ac:dyDescent="0.2">
      <c r="A633" s="2" t="s">
        <v>67</v>
      </c>
      <c r="B633" s="4">
        <v>232</v>
      </c>
      <c r="C633" s="5">
        <v>24.6</v>
      </c>
      <c r="D633" s="4">
        <v>139</v>
      </c>
      <c r="E633" s="5">
        <v>24.69</v>
      </c>
      <c r="F633" s="4">
        <v>92</v>
      </c>
      <c r="G633" s="5">
        <v>25</v>
      </c>
      <c r="H633" s="4">
        <v>1</v>
      </c>
    </row>
    <row r="634" spans="1:8" x14ac:dyDescent="0.2">
      <c r="A634" s="2" t="s">
        <v>68</v>
      </c>
      <c r="B634" s="4">
        <v>8</v>
      </c>
      <c r="C634" s="5">
        <v>0.85</v>
      </c>
      <c r="D634" s="4">
        <v>1</v>
      </c>
      <c r="E634" s="5">
        <v>0.18</v>
      </c>
      <c r="F634" s="4">
        <v>7</v>
      </c>
      <c r="G634" s="5">
        <v>1.9</v>
      </c>
      <c r="H634" s="4">
        <v>0</v>
      </c>
    </row>
    <row r="635" spans="1:8" x14ac:dyDescent="0.2">
      <c r="A635" s="2" t="s">
        <v>69</v>
      </c>
      <c r="B635" s="4">
        <v>45</v>
      </c>
      <c r="C635" s="5">
        <v>4.7699999999999996</v>
      </c>
      <c r="D635" s="4">
        <v>9</v>
      </c>
      <c r="E635" s="5">
        <v>1.6</v>
      </c>
      <c r="F635" s="4">
        <v>35</v>
      </c>
      <c r="G635" s="5">
        <v>9.51</v>
      </c>
      <c r="H635" s="4">
        <v>0</v>
      </c>
    </row>
    <row r="636" spans="1:8" x14ac:dyDescent="0.2">
      <c r="A636" s="2" t="s">
        <v>70</v>
      </c>
      <c r="B636" s="4">
        <v>31</v>
      </c>
      <c r="C636" s="5">
        <v>3.29</v>
      </c>
      <c r="D636" s="4">
        <v>17</v>
      </c>
      <c r="E636" s="5">
        <v>3.02</v>
      </c>
      <c r="F636" s="4">
        <v>14</v>
      </c>
      <c r="G636" s="5">
        <v>3.8</v>
      </c>
      <c r="H636" s="4">
        <v>0</v>
      </c>
    </row>
    <row r="637" spans="1:8" x14ac:dyDescent="0.2">
      <c r="A637" s="2" t="s">
        <v>71</v>
      </c>
      <c r="B637" s="4">
        <v>89</v>
      </c>
      <c r="C637" s="5">
        <v>9.44</v>
      </c>
      <c r="D637" s="4">
        <v>74</v>
      </c>
      <c r="E637" s="5">
        <v>13.14</v>
      </c>
      <c r="F637" s="4">
        <v>15</v>
      </c>
      <c r="G637" s="5">
        <v>4.08</v>
      </c>
      <c r="H637" s="4">
        <v>0</v>
      </c>
    </row>
    <row r="638" spans="1:8" x14ac:dyDescent="0.2">
      <c r="A638" s="2" t="s">
        <v>72</v>
      </c>
      <c r="B638" s="4">
        <v>139</v>
      </c>
      <c r="C638" s="5">
        <v>14.74</v>
      </c>
      <c r="D638" s="4">
        <v>126</v>
      </c>
      <c r="E638" s="5">
        <v>22.38</v>
      </c>
      <c r="F638" s="4">
        <v>12</v>
      </c>
      <c r="G638" s="5">
        <v>3.26</v>
      </c>
      <c r="H638" s="4">
        <v>0</v>
      </c>
    </row>
    <row r="639" spans="1:8" x14ac:dyDescent="0.2">
      <c r="A639" s="2" t="s">
        <v>73</v>
      </c>
      <c r="B639" s="4">
        <v>20</v>
      </c>
      <c r="C639" s="5">
        <v>2.12</v>
      </c>
      <c r="D639" s="4">
        <v>14</v>
      </c>
      <c r="E639" s="5">
        <v>2.4900000000000002</v>
      </c>
      <c r="F639" s="4">
        <v>5</v>
      </c>
      <c r="G639" s="5">
        <v>1.36</v>
      </c>
      <c r="H639" s="4">
        <v>0</v>
      </c>
    </row>
    <row r="640" spans="1:8" x14ac:dyDescent="0.2">
      <c r="A640" s="2" t="s">
        <v>74</v>
      </c>
      <c r="B640" s="4">
        <v>29</v>
      </c>
      <c r="C640" s="5">
        <v>3.08</v>
      </c>
      <c r="D640" s="4">
        <v>20</v>
      </c>
      <c r="E640" s="5">
        <v>3.55</v>
      </c>
      <c r="F640" s="4">
        <v>2</v>
      </c>
      <c r="G640" s="5">
        <v>0.54</v>
      </c>
      <c r="H640" s="4">
        <v>0</v>
      </c>
    </row>
    <row r="641" spans="1:8" x14ac:dyDescent="0.2">
      <c r="A641" s="2" t="s">
        <v>75</v>
      </c>
      <c r="B641" s="4">
        <v>38</v>
      </c>
      <c r="C641" s="5">
        <v>4.03</v>
      </c>
      <c r="D641" s="4">
        <v>25</v>
      </c>
      <c r="E641" s="5">
        <v>4.4400000000000004</v>
      </c>
      <c r="F641" s="4">
        <v>12</v>
      </c>
      <c r="G641" s="5">
        <v>3.26</v>
      </c>
      <c r="H641" s="4">
        <v>0</v>
      </c>
    </row>
    <row r="642" spans="1:8" x14ac:dyDescent="0.2">
      <c r="A642" s="1" t="s">
        <v>40</v>
      </c>
      <c r="B642" s="4">
        <v>1970</v>
      </c>
      <c r="C642" s="5">
        <v>99.97</v>
      </c>
      <c r="D642" s="4">
        <v>1159</v>
      </c>
      <c r="E642" s="5">
        <v>99.99</v>
      </c>
      <c r="F642" s="4">
        <v>801</v>
      </c>
      <c r="G642" s="5">
        <v>99.990000000000023</v>
      </c>
      <c r="H642" s="4">
        <v>1</v>
      </c>
    </row>
    <row r="643" spans="1:8" x14ac:dyDescent="0.2">
      <c r="A643" s="2" t="s">
        <v>61</v>
      </c>
      <c r="B643" s="4">
        <v>1</v>
      </c>
      <c r="C643" s="5">
        <v>0.05</v>
      </c>
      <c r="D643" s="4">
        <v>0</v>
      </c>
      <c r="E643" s="5">
        <v>0</v>
      </c>
      <c r="F643" s="4">
        <v>1</v>
      </c>
      <c r="G643" s="5">
        <v>0.12</v>
      </c>
      <c r="H643" s="4">
        <v>0</v>
      </c>
    </row>
    <row r="644" spans="1:8" x14ac:dyDescent="0.2">
      <c r="A644" s="2" t="s">
        <v>62</v>
      </c>
      <c r="B644" s="4">
        <v>399</v>
      </c>
      <c r="C644" s="5">
        <v>20.25</v>
      </c>
      <c r="D644" s="4">
        <v>177</v>
      </c>
      <c r="E644" s="5">
        <v>15.27</v>
      </c>
      <c r="F644" s="4">
        <v>222</v>
      </c>
      <c r="G644" s="5">
        <v>27.72</v>
      </c>
      <c r="H644" s="4">
        <v>0</v>
      </c>
    </row>
    <row r="645" spans="1:8" x14ac:dyDescent="0.2">
      <c r="A645" s="2" t="s">
        <v>63</v>
      </c>
      <c r="B645" s="4">
        <v>131</v>
      </c>
      <c r="C645" s="5">
        <v>6.65</v>
      </c>
      <c r="D645" s="4">
        <v>54</v>
      </c>
      <c r="E645" s="5">
        <v>4.66</v>
      </c>
      <c r="F645" s="4">
        <v>77</v>
      </c>
      <c r="G645" s="5">
        <v>9.61</v>
      </c>
      <c r="H645" s="4">
        <v>0</v>
      </c>
    </row>
    <row r="646" spans="1:8" x14ac:dyDescent="0.2">
      <c r="A646" s="2" t="s">
        <v>64</v>
      </c>
      <c r="B646" s="4">
        <v>6</v>
      </c>
      <c r="C646" s="5">
        <v>0.3</v>
      </c>
      <c r="D646" s="4">
        <v>0</v>
      </c>
      <c r="E646" s="5">
        <v>0</v>
      </c>
      <c r="F646" s="4">
        <v>6</v>
      </c>
      <c r="G646" s="5">
        <v>0.75</v>
      </c>
      <c r="H646" s="4">
        <v>0</v>
      </c>
    </row>
    <row r="647" spans="1:8" x14ac:dyDescent="0.2">
      <c r="A647" s="2" t="s">
        <v>65</v>
      </c>
      <c r="B647" s="4">
        <v>6</v>
      </c>
      <c r="C647" s="5">
        <v>0.3</v>
      </c>
      <c r="D647" s="4">
        <v>0</v>
      </c>
      <c r="E647" s="5">
        <v>0</v>
      </c>
      <c r="F647" s="4">
        <v>6</v>
      </c>
      <c r="G647" s="5">
        <v>0.75</v>
      </c>
      <c r="H647" s="4">
        <v>0</v>
      </c>
    </row>
    <row r="648" spans="1:8" x14ac:dyDescent="0.2">
      <c r="A648" s="2" t="s">
        <v>66</v>
      </c>
      <c r="B648" s="4">
        <v>17</v>
      </c>
      <c r="C648" s="5">
        <v>0.86</v>
      </c>
      <c r="D648" s="4">
        <v>1</v>
      </c>
      <c r="E648" s="5">
        <v>0.09</v>
      </c>
      <c r="F648" s="4">
        <v>16</v>
      </c>
      <c r="G648" s="5">
        <v>2</v>
      </c>
      <c r="H648" s="4">
        <v>0</v>
      </c>
    </row>
    <row r="649" spans="1:8" x14ac:dyDescent="0.2">
      <c r="A649" s="2" t="s">
        <v>67</v>
      </c>
      <c r="B649" s="4">
        <v>579</v>
      </c>
      <c r="C649" s="5">
        <v>29.39</v>
      </c>
      <c r="D649" s="4">
        <v>330</v>
      </c>
      <c r="E649" s="5">
        <v>28.47</v>
      </c>
      <c r="F649" s="4">
        <v>249</v>
      </c>
      <c r="G649" s="5">
        <v>31.09</v>
      </c>
      <c r="H649" s="4">
        <v>0</v>
      </c>
    </row>
    <row r="650" spans="1:8" x14ac:dyDescent="0.2">
      <c r="A650" s="2" t="s">
        <v>68</v>
      </c>
      <c r="B650" s="4">
        <v>13</v>
      </c>
      <c r="C650" s="5">
        <v>0.66</v>
      </c>
      <c r="D650" s="4">
        <v>2</v>
      </c>
      <c r="E650" s="5">
        <v>0.17</v>
      </c>
      <c r="F650" s="4">
        <v>11</v>
      </c>
      <c r="G650" s="5">
        <v>1.37</v>
      </c>
      <c r="H650" s="4">
        <v>0</v>
      </c>
    </row>
    <row r="651" spans="1:8" x14ac:dyDescent="0.2">
      <c r="A651" s="2" t="s">
        <v>69</v>
      </c>
      <c r="B651" s="4">
        <v>111</v>
      </c>
      <c r="C651" s="5">
        <v>5.63</v>
      </c>
      <c r="D651" s="4">
        <v>47</v>
      </c>
      <c r="E651" s="5">
        <v>4.0599999999999996</v>
      </c>
      <c r="F651" s="4">
        <v>64</v>
      </c>
      <c r="G651" s="5">
        <v>7.99</v>
      </c>
      <c r="H651" s="4">
        <v>0</v>
      </c>
    </row>
    <row r="652" spans="1:8" x14ac:dyDescent="0.2">
      <c r="A652" s="2" t="s">
        <v>70</v>
      </c>
      <c r="B652" s="4">
        <v>69</v>
      </c>
      <c r="C652" s="5">
        <v>3.5</v>
      </c>
      <c r="D652" s="4">
        <v>39</v>
      </c>
      <c r="E652" s="5">
        <v>3.36</v>
      </c>
      <c r="F652" s="4">
        <v>29</v>
      </c>
      <c r="G652" s="5">
        <v>3.62</v>
      </c>
      <c r="H652" s="4">
        <v>0</v>
      </c>
    </row>
    <row r="653" spans="1:8" x14ac:dyDescent="0.2">
      <c r="A653" s="2" t="s">
        <v>71</v>
      </c>
      <c r="B653" s="4">
        <v>190</v>
      </c>
      <c r="C653" s="5">
        <v>9.64</v>
      </c>
      <c r="D653" s="4">
        <v>171</v>
      </c>
      <c r="E653" s="5">
        <v>14.75</v>
      </c>
      <c r="F653" s="4">
        <v>19</v>
      </c>
      <c r="G653" s="5">
        <v>2.37</v>
      </c>
      <c r="H653" s="4">
        <v>0</v>
      </c>
    </row>
    <row r="654" spans="1:8" x14ac:dyDescent="0.2">
      <c r="A654" s="2" t="s">
        <v>72</v>
      </c>
      <c r="B654" s="4">
        <v>251</v>
      </c>
      <c r="C654" s="5">
        <v>12.74</v>
      </c>
      <c r="D654" s="4">
        <v>205</v>
      </c>
      <c r="E654" s="5">
        <v>17.690000000000001</v>
      </c>
      <c r="F654" s="4">
        <v>44</v>
      </c>
      <c r="G654" s="5">
        <v>5.49</v>
      </c>
      <c r="H654" s="4">
        <v>0</v>
      </c>
    </row>
    <row r="655" spans="1:8" x14ac:dyDescent="0.2">
      <c r="A655" s="2" t="s">
        <v>73</v>
      </c>
      <c r="B655" s="4">
        <v>41</v>
      </c>
      <c r="C655" s="5">
        <v>2.08</v>
      </c>
      <c r="D655" s="4">
        <v>26</v>
      </c>
      <c r="E655" s="5">
        <v>2.2400000000000002</v>
      </c>
      <c r="F655" s="4">
        <v>13</v>
      </c>
      <c r="G655" s="5">
        <v>1.62</v>
      </c>
      <c r="H655" s="4">
        <v>0</v>
      </c>
    </row>
    <row r="656" spans="1:8" x14ac:dyDescent="0.2">
      <c r="A656" s="2" t="s">
        <v>74</v>
      </c>
      <c r="B656" s="4">
        <v>68</v>
      </c>
      <c r="C656" s="5">
        <v>3.45</v>
      </c>
      <c r="D656" s="4">
        <v>50</v>
      </c>
      <c r="E656" s="5">
        <v>4.3099999999999996</v>
      </c>
      <c r="F656" s="4">
        <v>17</v>
      </c>
      <c r="G656" s="5">
        <v>2.12</v>
      </c>
      <c r="H656" s="4">
        <v>0</v>
      </c>
    </row>
    <row r="657" spans="1:8" x14ac:dyDescent="0.2">
      <c r="A657" s="2" t="s">
        <v>75</v>
      </c>
      <c r="B657" s="4">
        <v>88</v>
      </c>
      <c r="C657" s="5">
        <v>4.47</v>
      </c>
      <c r="D657" s="4">
        <v>57</v>
      </c>
      <c r="E657" s="5">
        <v>4.92</v>
      </c>
      <c r="F657" s="4">
        <v>27</v>
      </c>
      <c r="G657" s="5">
        <v>3.37</v>
      </c>
      <c r="H657" s="4">
        <v>1</v>
      </c>
    </row>
    <row r="658" spans="1:8" x14ac:dyDescent="0.2">
      <c r="A658" s="1" t="s">
        <v>41</v>
      </c>
      <c r="B658" s="4">
        <v>948</v>
      </c>
      <c r="C658" s="5">
        <v>100.02000000000001</v>
      </c>
      <c r="D658" s="4">
        <v>464</v>
      </c>
      <c r="E658" s="5">
        <v>100.02</v>
      </c>
      <c r="F658" s="4">
        <v>477</v>
      </c>
      <c r="G658" s="5">
        <v>100.01</v>
      </c>
      <c r="H658" s="4">
        <v>1</v>
      </c>
    </row>
    <row r="659" spans="1:8" x14ac:dyDescent="0.2">
      <c r="A659" s="2" t="s">
        <v>61</v>
      </c>
      <c r="B659" s="4">
        <v>1</v>
      </c>
      <c r="C659" s="5">
        <v>0.11</v>
      </c>
      <c r="D659" s="4">
        <v>0</v>
      </c>
      <c r="E659" s="5">
        <v>0</v>
      </c>
      <c r="F659" s="4">
        <v>1</v>
      </c>
      <c r="G659" s="5">
        <v>0.21</v>
      </c>
      <c r="H659" s="4">
        <v>0</v>
      </c>
    </row>
    <row r="660" spans="1:8" x14ac:dyDescent="0.2">
      <c r="A660" s="2" t="s">
        <v>62</v>
      </c>
      <c r="B660" s="4">
        <v>193</v>
      </c>
      <c r="C660" s="5">
        <v>20.36</v>
      </c>
      <c r="D660" s="4">
        <v>67</v>
      </c>
      <c r="E660" s="5">
        <v>14.44</v>
      </c>
      <c r="F660" s="4">
        <v>126</v>
      </c>
      <c r="G660" s="5">
        <v>26.42</v>
      </c>
      <c r="H660" s="4">
        <v>0</v>
      </c>
    </row>
    <row r="661" spans="1:8" x14ac:dyDescent="0.2">
      <c r="A661" s="2" t="s">
        <v>63</v>
      </c>
      <c r="B661" s="4">
        <v>116</v>
      </c>
      <c r="C661" s="5">
        <v>12.24</v>
      </c>
      <c r="D661" s="4">
        <v>34</v>
      </c>
      <c r="E661" s="5">
        <v>7.33</v>
      </c>
      <c r="F661" s="4">
        <v>82</v>
      </c>
      <c r="G661" s="5">
        <v>17.190000000000001</v>
      </c>
      <c r="H661" s="4">
        <v>0</v>
      </c>
    </row>
    <row r="662" spans="1:8" x14ac:dyDescent="0.2">
      <c r="A662" s="2" t="s">
        <v>64</v>
      </c>
      <c r="B662" s="4">
        <v>9</v>
      </c>
      <c r="C662" s="5">
        <v>0.95</v>
      </c>
      <c r="D662" s="4">
        <v>0</v>
      </c>
      <c r="E662" s="5">
        <v>0</v>
      </c>
      <c r="F662" s="4">
        <v>9</v>
      </c>
      <c r="G662" s="5">
        <v>1.89</v>
      </c>
      <c r="H662" s="4">
        <v>0</v>
      </c>
    </row>
    <row r="663" spans="1:8" x14ac:dyDescent="0.2">
      <c r="A663" s="2" t="s">
        <v>65</v>
      </c>
      <c r="B663" s="4">
        <v>3</v>
      </c>
      <c r="C663" s="5">
        <v>0.32</v>
      </c>
      <c r="D663" s="4">
        <v>1</v>
      </c>
      <c r="E663" s="5">
        <v>0.22</v>
      </c>
      <c r="F663" s="4">
        <v>2</v>
      </c>
      <c r="G663" s="5">
        <v>0.42</v>
      </c>
      <c r="H663" s="4">
        <v>0</v>
      </c>
    </row>
    <row r="664" spans="1:8" x14ac:dyDescent="0.2">
      <c r="A664" s="2" t="s">
        <v>66</v>
      </c>
      <c r="B664" s="4">
        <v>14</v>
      </c>
      <c r="C664" s="5">
        <v>1.48</v>
      </c>
      <c r="D664" s="4">
        <v>1</v>
      </c>
      <c r="E664" s="5">
        <v>0.22</v>
      </c>
      <c r="F664" s="4">
        <v>13</v>
      </c>
      <c r="G664" s="5">
        <v>2.73</v>
      </c>
      <c r="H664" s="4">
        <v>0</v>
      </c>
    </row>
    <row r="665" spans="1:8" x14ac:dyDescent="0.2">
      <c r="A665" s="2" t="s">
        <v>67</v>
      </c>
      <c r="B665" s="4">
        <v>200</v>
      </c>
      <c r="C665" s="5">
        <v>21.1</v>
      </c>
      <c r="D665" s="4">
        <v>89</v>
      </c>
      <c r="E665" s="5">
        <v>19.18</v>
      </c>
      <c r="F665" s="4">
        <v>111</v>
      </c>
      <c r="G665" s="5">
        <v>23.27</v>
      </c>
      <c r="H665" s="4">
        <v>0</v>
      </c>
    </row>
    <row r="666" spans="1:8" x14ac:dyDescent="0.2">
      <c r="A666" s="2" t="s">
        <v>68</v>
      </c>
      <c r="B666" s="4">
        <v>6</v>
      </c>
      <c r="C666" s="5">
        <v>0.63</v>
      </c>
      <c r="D666" s="4">
        <v>1</v>
      </c>
      <c r="E666" s="5">
        <v>0.22</v>
      </c>
      <c r="F666" s="4">
        <v>5</v>
      </c>
      <c r="G666" s="5">
        <v>1.05</v>
      </c>
      <c r="H666" s="4">
        <v>0</v>
      </c>
    </row>
    <row r="667" spans="1:8" x14ac:dyDescent="0.2">
      <c r="A667" s="2" t="s">
        <v>69</v>
      </c>
      <c r="B667" s="4">
        <v>51</v>
      </c>
      <c r="C667" s="5">
        <v>5.38</v>
      </c>
      <c r="D667" s="4">
        <v>16</v>
      </c>
      <c r="E667" s="5">
        <v>3.45</v>
      </c>
      <c r="F667" s="4">
        <v>35</v>
      </c>
      <c r="G667" s="5">
        <v>7.34</v>
      </c>
      <c r="H667" s="4">
        <v>0</v>
      </c>
    </row>
    <row r="668" spans="1:8" x14ac:dyDescent="0.2">
      <c r="A668" s="2" t="s">
        <v>70</v>
      </c>
      <c r="B668" s="4">
        <v>37</v>
      </c>
      <c r="C668" s="5">
        <v>3.9</v>
      </c>
      <c r="D668" s="4">
        <v>18</v>
      </c>
      <c r="E668" s="5">
        <v>3.88</v>
      </c>
      <c r="F668" s="4">
        <v>18</v>
      </c>
      <c r="G668" s="5">
        <v>3.77</v>
      </c>
      <c r="H668" s="4">
        <v>1</v>
      </c>
    </row>
    <row r="669" spans="1:8" x14ac:dyDescent="0.2">
      <c r="A669" s="2" t="s">
        <v>71</v>
      </c>
      <c r="B669" s="4">
        <v>100</v>
      </c>
      <c r="C669" s="5">
        <v>10.55</v>
      </c>
      <c r="D669" s="4">
        <v>84</v>
      </c>
      <c r="E669" s="5">
        <v>18.100000000000001</v>
      </c>
      <c r="F669" s="4">
        <v>15</v>
      </c>
      <c r="G669" s="5">
        <v>3.14</v>
      </c>
      <c r="H669" s="4">
        <v>0</v>
      </c>
    </row>
    <row r="670" spans="1:8" x14ac:dyDescent="0.2">
      <c r="A670" s="2" t="s">
        <v>72</v>
      </c>
      <c r="B670" s="4">
        <v>114</v>
      </c>
      <c r="C670" s="5">
        <v>12.03</v>
      </c>
      <c r="D670" s="4">
        <v>97</v>
      </c>
      <c r="E670" s="5">
        <v>20.91</v>
      </c>
      <c r="F670" s="4">
        <v>16</v>
      </c>
      <c r="G670" s="5">
        <v>3.35</v>
      </c>
      <c r="H670" s="4">
        <v>0</v>
      </c>
    </row>
    <row r="671" spans="1:8" x14ac:dyDescent="0.2">
      <c r="A671" s="2" t="s">
        <v>73</v>
      </c>
      <c r="B671" s="4">
        <v>11</v>
      </c>
      <c r="C671" s="5">
        <v>1.1599999999999999</v>
      </c>
      <c r="D671" s="4">
        <v>5</v>
      </c>
      <c r="E671" s="5">
        <v>1.08</v>
      </c>
      <c r="F671" s="4">
        <v>6</v>
      </c>
      <c r="G671" s="5">
        <v>1.26</v>
      </c>
      <c r="H671" s="4">
        <v>0</v>
      </c>
    </row>
    <row r="672" spans="1:8" x14ac:dyDescent="0.2">
      <c r="A672" s="2" t="s">
        <v>74</v>
      </c>
      <c r="B672" s="4">
        <v>42</v>
      </c>
      <c r="C672" s="5">
        <v>4.43</v>
      </c>
      <c r="D672" s="4">
        <v>25</v>
      </c>
      <c r="E672" s="5">
        <v>5.39</v>
      </c>
      <c r="F672" s="4">
        <v>14</v>
      </c>
      <c r="G672" s="5">
        <v>2.94</v>
      </c>
      <c r="H672" s="4">
        <v>0</v>
      </c>
    </row>
    <row r="673" spans="1:8" x14ac:dyDescent="0.2">
      <c r="A673" s="2" t="s">
        <v>75</v>
      </c>
      <c r="B673" s="4">
        <v>51</v>
      </c>
      <c r="C673" s="5">
        <v>5.38</v>
      </c>
      <c r="D673" s="4">
        <v>26</v>
      </c>
      <c r="E673" s="5">
        <v>5.6</v>
      </c>
      <c r="F673" s="4">
        <v>24</v>
      </c>
      <c r="G673" s="5">
        <v>5.03</v>
      </c>
      <c r="H673" s="4">
        <v>0</v>
      </c>
    </row>
    <row r="674" spans="1:8" x14ac:dyDescent="0.2">
      <c r="A674" s="1" t="s">
        <v>42</v>
      </c>
      <c r="B674" s="4">
        <v>938</v>
      </c>
      <c r="C674" s="5">
        <v>100.02000000000001</v>
      </c>
      <c r="D674" s="4">
        <v>551</v>
      </c>
      <c r="E674" s="5">
        <v>99.990000000000009</v>
      </c>
      <c r="F674" s="4">
        <v>380</v>
      </c>
      <c r="G674" s="5">
        <v>99.999999999999986</v>
      </c>
      <c r="H674" s="4">
        <v>0</v>
      </c>
    </row>
    <row r="675" spans="1:8" x14ac:dyDescent="0.2">
      <c r="A675" s="2" t="s">
        <v>61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2">
      <c r="A676" s="2" t="s">
        <v>62</v>
      </c>
      <c r="B676" s="4">
        <v>187</v>
      </c>
      <c r="C676" s="5">
        <v>19.940000000000001</v>
      </c>
      <c r="D676" s="4">
        <v>82</v>
      </c>
      <c r="E676" s="5">
        <v>14.88</v>
      </c>
      <c r="F676" s="4">
        <v>105</v>
      </c>
      <c r="G676" s="5">
        <v>27.63</v>
      </c>
      <c r="H676" s="4">
        <v>0</v>
      </c>
    </row>
    <row r="677" spans="1:8" x14ac:dyDescent="0.2">
      <c r="A677" s="2" t="s">
        <v>63</v>
      </c>
      <c r="B677" s="4">
        <v>76</v>
      </c>
      <c r="C677" s="5">
        <v>8.1</v>
      </c>
      <c r="D677" s="4">
        <v>29</v>
      </c>
      <c r="E677" s="5">
        <v>5.26</v>
      </c>
      <c r="F677" s="4">
        <v>47</v>
      </c>
      <c r="G677" s="5">
        <v>12.37</v>
      </c>
      <c r="H677" s="4">
        <v>0</v>
      </c>
    </row>
    <row r="678" spans="1:8" x14ac:dyDescent="0.2">
      <c r="A678" s="2" t="s">
        <v>64</v>
      </c>
      <c r="B678" s="4">
        <v>4</v>
      </c>
      <c r="C678" s="5">
        <v>0.43</v>
      </c>
      <c r="D678" s="4">
        <v>0</v>
      </c>
      <c r="E678" s="5">
        <v>0</v>
      </c>
      <c r="F678" s="4">
        <v>3</v>
      </c>
      <c r="G678" s="5">
        <v>0.79</v>
      </c>
      <c r="H678" s="4">
        <v>0</v>
      </c>
    </row>
    <row r="679" spans="1:8" x14ac:dyDescent="0.2">
      <c r="A679" s="2" t="s">
        <v>65</v>
      </c>
      <c r="B679" s="4">
        <v>8</v>
      </c>
      <c r="C679" s="5">
        <v>0.85</v>
      </c>
      <c r="D679" s="4">
        <v>0</v>
      </c>
      <c r="E679" s="5">
        <v>0</v>
      </c>
      <c r="F679" s="4">
        <v>8</v>
      </c>
      <c r="G679" s="5">
        <v>2.11</v>
      </c>
      <c r="H679" s="4">
        <v>0</v>
      </c>
    </row>
    <row r="680" spans="1:8" x14ac:dyDescent="0.2">
      <c r="A680" s="2" t="s">
        <v>66</v>
      </c>
      <c r="B680" s="4">
        <v>9</v>
      </c>
      <c r="C680" s="5">
        <v>0.96</v>
      </c>
      <c r="D680" s="4">
        <v>2</v>
      </c>
      <c r="E680" s="5">
        <v>0.36</v>
      </c>
      <c r="F680" s="4">
        <v>6</v>
      </c>
      <c r="G680" s="5">
        <v>1.58</v>
      </c>
      <c r="H680" s="4">
        <v>0</v>
      </c>
    </row>
    <row r="681" spans="1:8" x14ac:dyDescent="0.2">
      <c r="A681" s="2" t="s">
        <v>67</v>
      </c>
      <c r="B681" s="4">
        <v>239</v>
      </c>
      <c r="C681" s="5">
        <v>25.48</v>
      </c>
      <c r="D681" s="4">
        <v>128</v>
      </c>
      <c r="E681" s="5">
        <v>23.23</v>
      </c>
      <c r="F681" s="4">
        <v>111</v>
      </c>
      <c r="G681" s="5">
        <v>29.21</v>
      </c>
      <c r="H681" s="4">
        <v>0</v>
      </c>
    </row>
    <row r="682" spans="1:8" x14ac:dyDescent="0.2">
      <c r="A682" s="2" t="s">
        <v>68</v>
      </c>
      <c r="B682" s="4">
        <v>5</v>
      </c>
      <c r="C682" s="5">
        <v>0.53</v>
      </c>
      <c r="D682" s="4">
        <v>3</v>
      </c>
      <c r="E682" s="5">
        <v>0.54</v>
      </c>
      <c r="F682" s="4">
        <v>2</v>
      </c>
      <c r="G682" s="5">
        <v>0.53</v>
      </c>
      <c r="H682" s="4">
        <v>0</v>
      </c>
    </row>
    <row r="683" spans="1:8" x14ac:dyDescent="0.2">
      <c r="A683" s="2" t="s">
        <v>69</v>
      </c>
      <c r="B683" s="4">
        <v>56</v>
      </c>
      <c r="C683" s="5">
        <v>5.97</v>
      </c>
      <c r="D683" s="4">
        <v>26</v>
      </c>
      <c r="E683" s="5">
        <v>4.72</v>
      </c>
      <c r="F683" s="4">
        <v>30</v>
      </c>
      <c r="G683" s="5">
        <v>7.89</v>
      </c>
      <c r="H683" s="4">
        <v>0</v>
      </c>
    </row>
    <row r="684" spans="1:8" x14ac:dyDescent="0.2">
      <c r="A684" s="2" t="s">
        <v>70</v>
      </c>
      <c r="B684" s="4">
        <v>25</v>
      </c>
      <c r="C684" s="5">
        <v>2.67</v>
      </c>
      <c r="D684" s="4">
        <v>13</v>
      </c>
      <c r="E684" s="5">
        <v>2.36</v>
      </c>
      <c r="F684" s="4">
        <v>12</v>
      </c>
      <c r="G684" s="5">
        <v>3.16</v>
      </c>
      <c r="H684" s="4">
        <v>0</v>
      </c>
    </row>
    <row r="685" spans="1:8" x14ac:dyDescent="0.2">
      <c r="A685" s="2" t="s">
        <v>71</v>
      </c>
      <c r="B685" s="4">
        <v>107</v>
      </c>
      <c r="C685" s="5">
        <v>11.41</v>
      </c>
      <c r="D685" s="4">
        <v>95</v>
      </c>
      <c r="E685" s="5">
        <v>17.239999999999998</v>
      </c>
      <c r="F685" s="4">
        <v>11</v>
      </c>
      <c r="G685" s="5">
        <v>2.89</v>
      </c>
      <c r="H685" s="4">
        <v>0</v>
      </c>
    </row>
    <row r="686" spans="1:8" x14ac:dyDescent="0.2">
      <c r="A686" s="2" t="s">
        <v>72</v>
      </c>
      <c r="B686" s="4">
        <v>145</v>
      </c>
      <c r="C686" s="5">
        <v>15.46</v>
      </c>
      <c r="D686" s="4">
        <v>126</v>
      </c>
      <c r="E686" s="5">
        <v>22.87</v>
      </c>
      <c r="F686" s="4">
        <v>19</v>
      </c>
      <c r="G686" s="5">
        <v>5</v>
      </c>
      <c r="H686" s="4">
        <v>0</v>
      </c>
    </row>
    <row r="687" spans="1:8" x14ac:dyDescent="0.2">
      <c r="A687" s="2" t="s">
        <v>73</v>
      </c>
      <c r="B687" s="4">
        <v>19</v>
      </c>
      <c r="C687" s="5">
        <v>2.0299999999999998</v>
      </c>
      <c r="D687" s="4">
        <v>13</v>
      </c>
      <c r="E687" s="5">
        <v>2.36</v>
      </c>
      <c r="F687" s="4">
        <v>5</v>
      </c>
      <c r="G687" s="5">
        <v>1.32</v>
      </c>
      <c r="H687" s="4">
        <v>0</v>
      </c>
    </row>
    <row r="688" spans="1:8" x14ac:dyDescent="0.2">
      <c r="A688" s="2" t="s">
        <v>74</v>
      </c>
      <c r="B688" s="4">
        <v>33</v>
      </c>
      <c r="C688" s="5">
        <v>3.52</v>
      </c>
      <c r="D688" s="4">
        <v>20</v>
      </c>
      <c r="E688" s="5">
        <v>3.63</v>
      </c>
      <c r="F688" s="4">
        <v>11</v>
      </c>
      <c r="G688" s="5">
        <v>2.89</v>
      </c>
      <c r="H688" s="4">
        <v>0</v>
      </c>
    </row>
    <row r="689" spans="1:8" x14ac:dyDescent="0.2">
      <c r="A689" s="2" t="s">
        <v>75</v>
      </c>
      <c r="B689" s="4">
        <v>25</v>
      </c>
      <c r="C689" s="5">
        <v>2.67</v>
      </c>
      <c r="D689" s="4">
        <v>14</v>
      </c>
      <c r="E689" s="5">
        <v>2.54</v>
      </c>
      <c r="F689" s="4">
        <v>10</v>
      </c>
      <c r="G689" s="5">
        <v>2.63</v>
      </c>
      <c r="H689" s="4">
        <v>0</v>
      </c>
    </row>
    <row r="690" spans="1:8" x14ac:dyDescent="0.2">
      <c r="A690" s="1" t="s">
        <v>43</v>
      </c>
      <c r="B690" s="4">
        <v>855</v>
      </c>
      <c r="C690" s="5">
        <v>100.01999999999998</v>
      </c>
      <c r="D690" s="4">
        <v>410</v>
      </c>
      <c r="E690" s="5">
        <v>99.99</v>
      </c>
      <c r="F690" s="4">
        <v>436</v>
      </c>
      <c r="G690" s="5">
        <v>100</v>
      </c>
      <c r="H690" s="4">
        <v>0</v>
      </c>
    </row>
    <row r="691" spans="1:8" x14ac:dyDescent="0.2">
      <c r="A691" s="2" t="s">
        <v>61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2">
      <c r="A692" s="2" t="s">
        <v>62</v>
      </c>
      <c r="B692" s="4">
        <v>149</v>
      </c>
      <c r="C692" s="5">
        <v>17.43</v>
      </c>
      <c r="D692" s="4">
        <v>37</v>
      </c>
      <c r="E692" s="5">
        <v>9.02</v>
      </c>
      <c r="F692" s="4">
        <v>112</v>
      </c>
      <c r="G692" s="5">
        <v>25.69</v>
      </c>
      <c r="H692" s="4">
        <v>0</v>
      </c>
    </row>
    <row r="693" spans="1:8" x14ac:dyDescent="0.2">
      <c r="A693" s="2" t="s">
        <v>63</v>
      </c>
      <c r="B693" s="4">
        <v>52</v>
      </c>
      <c r="C693" s="5">
        <v>6.08</v>
      </c>
      <c r="D693" s="4">
        <v>23</v>
      </c>
      <c r="E693" s="5">
        <v>5.61</v>
      </c>
      <c r="F693" s="4">
        <v>29</v>
      </c>
      <c r="G693" s="5">
        <v>6.65</v>
      </c>
      <c r="H693" s="4">
        <v>0</v>
      </c>
    </row>
    <row r="694" spans="1:8" x14ac:dyDescent="0.2">
      <c r="A694" s="2" t="s">
        <v>64</v>
      </c>
      <c r="B694" s="4">
        <v>1</v>
      </c>
      <c r="C694" s="5">
        <v>0.12</v>
      </c>
      <c r="D694" s="4">
        <v>0</v>
      </c>
      <c r="E694" s="5">
        <v>0</v>
      </c>
      <c r="F694" s="4">
        <v>1</v>
      </c>
      <c r="G694" s="5">
        <v>0.23</v>
      </c>
      <c r="H694" s="4">
        <v>0</v>
      </c>
    </row>
    <row r="695" spans="1:8" x14ac:dyDescent="0.2">
      <c r="A695" s="2" t="s">
        <v>65</v>
      </c>
      <c r="B695" s="4">
        <v>11</v>
      </c>
      <c r="C695" s="5">
        <v>1.29</v>
      </c>
      <c r="D695" s="4">
        <v>1</v>
      </c>
      <c r="E695" s="5">
        <v>0.24</v>
      </c>
      <c r="F695" s="4">
        <v>10</v>
      </c>
      <c r="G695" s="5">
        <v>2.29</v>
      </c>
      <c r="H695" s="4">
        <v>0</v>
      </c>
    </row>
    <row r="696" spans="1:8" x14ac:dyDescent="0.2">
      <c r="A696" s="2" t="s">
        <v>66</v>
      </c>
      <c r="B696" s="4">
        <v>1</v>
      </c>
      <c r="C696" s="5">
        <v>0.12</v>
      </c>
      <c r="D696" s="4">
        <v>0</v>
      </c>
      <c r="E696" s="5">
        <v>0</v>
      </c>
      <c r="F696" s="4">
        <v>1</v>
      </c>
      <c r="G696" s="5">
        <v>0.23</v>
      </c>
      <c r="H696" s="4">
        <v>0</v>
      </c>
    </row>
    <row r="697" spans="1:8" x14ac:dyDescent="0.2">
      <c r="A697" s="2" t="s">
        <v>67</v>
      </c>
      <c r="B697" s="4">
        <v>158</v>
      </c>
      <c r="C697" s="5">
        <v>18.48</v>
      </c>
      <c r="D697" s="4">
        <v>69</v>
      </c>
      <c r="E697" s="5">
        <v>16.829999999999998</v>
      </c>
      <c r="F697" s="4">
        <v>89</v>
      </c>
      <c r="G697" s="5">
        <v>20.41</v>
      </c>
      <c r="H697" s="4">
        <v>0</v>
      </c>
    </row>
    <row r="698" spans="1:8" x14ac:dyDescent="0.2">
      <c r="A698" s="2" t="s">
        <v>68</v>
      </c>
      <c r="B698" s="4">
        <v>8</v>
      </c>
      <c r="C698" s="5">
        <v>0.94</v>
      </c>
      <c r="D698" s="4">
        <v>0</v>
      </c>
      <c r="E698" s="5">
        <v>0</v>
      </c>
      <c r="F698" s="4">
        <v>8</v>
      </c>
      <c r="G698" s="5">
        <v>1.83</v>
      </c>
      <c r="H698" s="4">
        <v>0</v>
      </c>
    </row>
    <row r="699" spans="1:8" x14ac:dyDescent="0.2">
      <c r="A699" s="2" t="s">
        <v>69</v>
      </c>
      <c r="B699" s="4">
        <v>107</v>
      </c>
      <c r="C699" s="5">
        <v>12.51</v>
      </c>
      <c r="D699" s="4">
        <v>52</v>
      </c>
      <c r="E699" s="5">
        <v>12.68</v>
      </c>
      <c r="F699" s="4">
        <v>55</v>
      </c>
      <c r="G699" s="5">
        <v>12.61</v>
      </c>
      <c r="H699" s="4">
        <v>0</v>
      </c>
    </row>
    <row r="700" spans="1:8" x14ac:dyDescent="0.2">
      <c r="A700" s="2" t="s">
        <v>70</v>
      </c>
      <c r="B700" s="4">
        <v>44</v>
      </c>
      <c r="C700" s="5">
        <v>5.15</v>
      </c>
      <c r="D700" s="4">
        <v>12</v>
      </c>
      <c r="E700" s="5">
        <v>2.93</v>
      </c>
      <c r="F700" s="4">
        <v>32</v>
      </c>
      <c r="G700" s="5">
        <v>7.34</v>
      </c>
      <c r="H700" s="4">
        <v>0</v>
      </c>
    </row>
    <row r="701" spans="1:8" x14ac:dyDescent="0.2">
      <c r="A701" s="2" t="s">
        <v>71</v>
      </c>
      <c r="B701" s="4">
        <v>89</v>
      </c>
      <c r="C701" s="5">
        <v>10.41</v>
      </c>
      <c r="D701" s="4">
        <v>72</v>
      </c>
      <c r="E701" s="5">
        <v>17.559999999999999</v>
      </c>
      <c r="F701" s="4">
        <v>17</v>
      </c>
      <c r="G701" s="5">
        <v>3.9</v>
      </c>
      <c r="H701" s="4">
        <v>0</v>
      </c>
    </row>
    <row r="702" spans="1:8" x14ac:dyDescent="0.2">
      <c r="A702" s="2" t="s">
        <v>72</v>
      </c>
      <c r="B702" s="4">
        <v>124</v>
      </c>
      <c r="C702" s="5">
        <v>14.5</v>
      </c>
      <c r="D702" s="4">
        <v>86</v>
      </c>
      <c r="E702" s="5">
        <v>20.98</v>
      </c>
      <c r="F702" s="4">
        <v>37</v>
      </c>
      <c r="G702" s="5">
        <v>8.49</v>
      </c>
      <c r="H702" s="4">
        <v>0</v>
      </c>
    </row>
    <row r="703" spans="1:8" x14ac:dyDescent="0.2">
      <c r="A703" s="2" t="s">
        <v>73</v>
      </c>
      <c r="B703" s="4">
        <v>31</v>
      </c>
      <c r="C703" s="5">
        <v>3.63</v>
      </c>
      <c r="D703" s="4">
        <v>21</v>
      </c>
      <c r="E703" s="5">
        <v>5.12</v>
      </c>
      <c r="F703" s="4">
        <v>7</v>
      </c>
      <c r="G703" s="5">
        <v>1.61</v>
      </c>
      <c r="H703" s="4">
        <v>0</v>
      </c>
    </row>
    <row r="704" spans="1:8" x14ac:dyDescent="0.2">
      <c r="A704" s="2" t="s">
        <v>74</v>
      </c>
      <c r="B704" s="4">
        <v>49</v>
      </c>
      <c r="C704" s="5">
        <v>5.73</v>
      </c>
      <c r="D704" s="4">
        <v>29</v>
      </c>
      <c r="E704" s="5">
        <v>7.07</v>
      </c>
      <c r="F704" s="4">
        <v>17</v>
      </c>
      <c r="G704" s="5">
        <v>3.9</v>
      </c>
      <c r="H704" s="4">
        <v>0</v>
      </c>
    </row>
    <row r="705" spans="1:8" x14ac:dyDescent="0.2">
      <c r="A705" s="2" t="s">
        <v>75</v>
      </c>
      <c r="B705" s="4">
        <v>31</v>
      </c>
      <c r="C705" s="5">
        <v>3.63</v>
      </c>
      <c r="D705" s="4">
        <v>8</v>
      </c>
      <c r="E705" s="5">
        <v>1.95</v>
      </c>
      <c r="F705" s="4">
        <v>21</v>
      </c>
      <c r="G705" s="5">
        <v>4.82</v>
      </c>
      <c r="H705" s="4">
        <v>0</v>
      </c>
    </row>
    <row r="706" spans="1:8" x14ac:dyDescent="0.2">
      <c r="A706" s="1" t="s">
        <v>44</v>
      </c>
      <c r="B706" s="4">
        <v>403</v>
      </c>
      <c r="C706" s="5">
        <v>100.00999999999999</v>
      </c>
      <c r="D706" s="4">
        <v>172</v>
      </c>
      <c r="E706" s="5">
        <v>100</v>
      </c>
      <c r="F706" s="4">
        <v>226</v>
      </c>
      <c r="G706" s="5">
        <v>99.970000000000013</v>
      </c>
      <c r="H706" s="4">
        <v>0</v>
      </c>
    </row>
    <row r="707" spans="1:8" x14ac:dyDescent="0.2">
      <c r="A707" s="2" t="s">
        <v>61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2">
      <c r="A708" s="2" t="s">
        <v>62</v>
      </c>
      <c r="B708" s="4">
        <v>40</v>
      </c>
      <c r="C708" s="5">
        <v>9.93</v>
      </c>
      <c r="D708" s="4">
        <v>6</v>
      </c>
      <c r="E708" s="5">
        <v>3.49</v>
      </c>
      <c r="F708" s="4">
        <v>34</v>
      </c>
      <c r="G708" s="5">
        <v>15.04</v>
      </c>
      <c r="H708" s="4">
        <v>0</v>
      </c>
    </row>
    <row r="709" spans="1:8" x14ac:dyDescent="0.2">
      <c r="A709" s="2" t="s">
        <v>63</v>
      </c>
      <c r="B709" s="4">
        <v>14</v>
      </c>
      <c r="C709" s="5">
        <v>3.47</v>
      </c>
      <c r="D709" s="4">
        <v>2</v>
      </c>
      <c r="E709" s="5">
        <v>1.1599999999999999</v>
      </c>
      <c r="F709" s="4">
        <v>12</v>
      </c>
      <c r="G709" s="5">
        <v>5.31</v>
      </c>
      <c r="H709" s="4">
        <v>0</v>
      </c>
    </row>
    <row r="710" spans="1:8" x14ac:dyDescent="0.2">
      <c r="A710" s="2" t="s">
        <v>64</v>
      </c>
      <c r="B710" s="4">
        <v>1</v>
      </c>
      <c r="C710" s="5">
        <v>0.25</v>
      </c>
      <c r="D710" s="4">
        <v>0</v>
      </c>
      <c r="E710" s="5">
        <v>0</v>
      </c>
      <c r="F710" s="4">
        <v>1</v>
      </c>
      <c r="G710" s="5">
        <v>0.44</v>
      </c>
      <c r="H710" s="4">
        <v>0</v>
      </c>
    </row>
    <row r="711" spans="1:8" x14ac:dyDescent="0.2">
      <c r="A711" s="2" t="s">
        <v>65</v>
      </c>
      <c r="B711" s="4">
        <v>3</v>
      </c>
      <c r="C711" s="5">
        <v>0.74</v>
      </c>
      <c r="D711" s="4">
        <v>1</v>
      </c>
      <c r="E711" s="5">
        <v>0.57999999999999996</v>
      </c>
      <c r="F711" s="4">
        <v>2</v>
      </c>
      <c r="G711" s="5">
        <v>0.88</v>
      </c>
      <c r="H711" s="4">
        <v>0</v>
      </c>
    </row>
    <row r="712" spans="1:8" x14ac:dyDescent="0.2">
      <c r="A712" s="2" t="s">
        <v>66</v>
      </c>
      <c r="B712" s="4">
        <v>7</v>
      </c>
      <c r="C712" s="5">
        <v>1.74</v>
      </c>
      <c r="D712" s="4">
        <v>0</v>
      </c>
      <c r="E712" s="5">
        <v>0</v>
      </c>
      <c r="F712" s="4">
        <v>6</v>
      </c>
      <c r="G712" s="5">
        <v>2.65</v>
      </c>
      <c r="H712" s="4">
        <v>0</v>
      </c>
    </row>
    <row r="713" spans="1:8" x14ac:dyDescent="0.2">
      <c r="A713" s="2" t="s">
        <v>67</v>
      </c>
      <c r="B713" s="4">
        <v>132</v>
      </c>
      <c r="C713" s="5">
        <v>32.75</v>
      </c>
      <c r="D713" s="4">
        <v>30</v>
      </c>
      <c r="E713" s="5">
        <v>17.440000000000001</v>
      </c>
      <c r="F713" s="4">
        <v>102</v>
      </c>
      <c r="G713" s="5">
        <v>45.13</v>
      </c>
      <c r="H713" s="4">
        <v>0</v>
      </c>
    </row>
    <row r="714" spans="1:8" x14ac:dyDescent="0.2">
      <c r="A714" s="2" t="s">
        <v>68</v>
      </c>
      <c r="B714" s="4">
        <v>2</v>
      </c>
      <c r="C714" s="5">
        <v>0.5</v>
      </c>
      <c r="D714" s="4">
        <v>1</v>
      </c>
      <c r="E714" s="5">
        <v>0.57999999999999996</v>
      </c>
      <c r="F714" s="4">
        <v>1</v>
      </c>
      <c r="G714" s="5">
        <v>0.44</v>
      </c>
      <c r="H714" s="4">
        <v>0</v>
      </c>
    </row>
    <row r="715" spans="1:8" x14ac:dyDescent="0.2">
      <c r="A715" s="2" t="s">
        <v>69</v>
      </c>
      <c r="B715" s="4">
        <v>43</v>
      </c>
      <c r="C715" s="5">
        <v>10.67</v>
      </c>
      <c r="D715" s="4">
        <v>21</v>
      </c>
      <c r="E715" s="5">
        <v>12.21</v>
      </c>
      <c r="F715" s="4">
        <v>22</v>
      </c>
      <c r="G715" s="5">
        <v>9.73</v>
      </c>
      <c r="H715" s="4">
        <v>0</v>
      </c>
    </row>
    <row r="716" spans="1:8" x14ac:dyDescent="0.2">
      <c r="A716" s="2" t="s">
        <v>70</v>
      </c>
      <c r="B716" s="4">
        <v>20</v>
      </c>
      <c r="C716" s="5">
        <v>4.96</v>
      </c>
      <c r="D716" s="4">
        <v>8</v>
      </c>
      <c r="E716" s="5">
        <v>4.6500000000000004</v>
      </c>
      <c r="F716" s="4">
        <v>10</v>
      </c>
      <c r="G716" s="5">
        <v>4.42</v>
      </c>
      <c r="H716" s="4">
        <v>0</v>
      </c>
    </row>
    <row r="717" spans="1:8" x14ac:dyDescent="0.2">
      <c r="A717" s="2" t="s">
        <v>71</v>
      </c>
      <c r="B717" s="4">
        <v>43</v>
      </c>
      <c r="C717" s="5">
        <v>10.67</v>
      </c>
      <c r="D717" s="4">
        <v>34</v>
      </c>
      <c r="E717" s="5">
        <v>19.77</v>
      </c>
      <c r="F717" s="4">
        <v>8</v>
      </c>
      <c r="G717" s="5">
        <v>3.54</v>
      </c>
      <c r="H717" s="4">
        <v>0</v>
      </c>
    </row>
    <row r="718" spans="1:8" x14ac:dyDescent="0.2">
      <c r="A718" s="2" t="s">
        <v>72</v>
      </c>
      <c r="B718" s="4">
        <v>51</v>
      </c>
      <c r="C718" s="5">
        <v>12.66</v>
      </c>
      <c r="D718" s="4">
        <v>40</v>
      </c>
      <c r="E718" s="5">
        <v>23.26</v>
      </c>
      <c r="F718" s="4">
        <v>11</v>
      </c>
      <c r="G718" s="5">
        <v>4.87</v>
      </c>
      <c r="H718" s="4">
        <v>0</v>
      </c>
    </row>
    <row r="719" spans="1:8" x14ac:dyDescent="0.2">
      <c r="A719" s="2" t="s">
        <v>73</v>
      </c>
      <c r="B719" s="4">
        <v>12</v>
      </c>
      <c r="C719" s="5">
        <v>2.98</v>
      </c>
      <c r="D719" s="4">
        <v>12</v>
      </c>
      <c r="E719" s="5">
        <v>6.98</v>
      </c>
      <c r="F719" s="4">
        <v>0</v>
      </c>
      <c r="G719" s="5">
        <v>0</v>
      </c>
      <c r="H719" s="4">
        <v>0</v>
      </c>
    </row>
    <row r="720" spans="1:8" x14ac:dyDescent="0.2">
      <c r="A720" s="2" t="s">
        <v>74</v>
      </c>
      <c r="B720" s="4">
        <v>22</v>
      </c>
      <c r="C720" s="5">
        <v>5.46</v>
      </c>
      <c r="D720" s="4">
        <v>14</v>
      </c>
      <c r="E720" s="5">
        <v>8.14</v>
      </c>
      <c r="F720" s="4">
        <v>7</v>
      </c>
      <c r="G720" s="5">
        <v>3.1</v>
      </c>
      <c r="H720" s="4">
        <v>0</v>
      </c>
    </row>
    <row r="721" spans="1:8" x14ac:dyDescent="0.2">
      <c r="A721" s="2" t="s">
        <v>75</v>
      </c>
      <c r="B721" s="4">
        <v>13</v>
      </c>
      <c r="C721" s="5">
        <v>3.23</v>
      </c>
      <c r="D721" s="4">
        <v>3</v>
      </c>
      <c r="E721" s="5">
        <v>1.74</v>
      </c>
      <c r="F721" s="4">
        <v>10</v>
      </c>
      <c r="G721" s="5">
        <v>4.42</v>
      </c>
      <c r="H721" s="4">
        <v>0</v>
      </c>
    </row>
    <row r="722" spans="1:8" x14ac:dyDescent="0.2">
      <c r="A722" s="1" t="s">
        <v>45</v>
      </c>
      <c r="B722" s="4">
        <v>279</v>
      </c>
      <c r="C722" s="5">
        <v>100.00000000000001</v>
      </c>
      <c r="D722" s="4">
        <v>132</v>
      </c>
      <c r="E722" s="5">
        <v>100</v>
      </c>
      <c r="F722" s="4">
        <v>145</v>
      </c>
      <c r="G722" s="5">
        <v>100.03</v>
      </c>
      <c r="H722" s="4">
        <v>0</v>
      </c>
    </row>
    <row r="723" spans="1:8" x14ac:dyDescent="0.2">
      <c r="A723" s="2" t="s">
        <v>61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2">
      <c r="A724" s="2" t="s">
        <v>62</v>
      </c>
      <c r="B724" s="4">
        <v>55</v>
      </c>
      <c r="C724" s="5">
        <v>19.71</v>
      </c>
      <c r="D724" s="4">
        <v>19</v>
      </c>
      <c r="E724" s="5">
        <v>14.39</v>
      </c>
      <c r="F724" s="4">
        <v>36</v>
      </c>
      <c r="G724" s="5">
        <v>24.83</v>
      </c>
      <c r="H724" s="4">
        <v>0</v>
      </c>
    </row>
    <row r="725" spans="1:8" x14ac:dyDescent="0.2">
      <c r="A725" s="2" t="s">
        <v>63</v>
      </c>
      <c r="B725" s="4">
        <v>13</v>
      </c>
      <c r="C725" s="5">
        <v>4.66</v>
      </c>
      <c r="D725" s="4">
        <v>1</v>
      </c>
      <c r="E725" s="5">
        <v>0.76</v>
      </c>
      <c r="F725" s="4">
        <v>12</v>
      </c>
      <c r="G725" s="5">
        <v>8.2799999999999994</v>
      </c>
      <c r="H725" s="4">
        <v>0</v>
      </c>
    </row>
    <row r="726" spans="1:8" x14ac:dyDescent="0.2">
      <c r="A726" s="2" t="s">
        <v>64</v>
      </c>
      <c r="B726" s="4">
        <v>1</v>
      </c>
      <c r="C726" s="5">
        <v>0.36</v>
      </c>
      <c r="D726" s="4">
        <v>0</v>
      </c>
      <c r="E726" s="5">
        <v>0</v>
      </c>
      <c r="F726" s="4">
        <v>1</v>
      </c>
      <c r="G726" s="5">
        <v>0.69</v>
      </c>
      <c r="H726" s="4">
        <v>0</v>
      </c>
    </row>
    <row r="727" spans="1:8" x14ac:dyDescent="0.2">
      <c r="A727" s="2" t="s">
        <v>65</v>
      </c>
      <c r="B727" s="4">
        <v>1</v>
      </c>
      <c r="C727" s="5">
        <v>0.36</v>
      </c>
      <c r="D727" s="4">
        <v>0</v>
      </c>
      <c r="E727" s="5">
        <v>0</v>
      </c>
      <c r="F727" s="4">
        <v>1</v>
      </c>
      <c r="G727" s="5">
        <v>0.69</v>
      </c>
      <c r="H727" s="4">
        <v>0</v>
      </c>
    </row>
    <row r="728" spans="1:8" x14ac:dyDescent="0.2">
      <c r="A728" s="2" t="s">
        <v>66</v>
      </c>
      <c r="B728" s="4">
        <v>5</v>
      </c>
      <c r="C728" s="5">
        <v>1.79</v>
      </c>
      <c r="D728" s="4">
        <v>0</v>
      </c>
      <c r="E728" s="5">
        <v>0</v>
      </c>
      <c r="F728" s="4">
        <v>5</v>
      </c>
      <c r="G728" s="5">
        <v>3.45</v>
      </c>
      <c r="H728" s="4">
        <v>0</v>
      </c>
    </row>
    <row r="729" spans="1:8" x14ac:dyDescent="0.2">
      <c r="A729" s="2" t="s">
        <v>67</v>
      </c>
      <c r="B729" s="4">
        <v>68</v>
      </c>
      <c r="C729" s="5">
        <v>24.37</v>
      </c>
      <c r="D729" s="4">
        <v>28</v>
      </c>
      <c r="E729" s="5">
        <v>21.21</v>
      </c>
      <c r="F729" s="4">
        <v>40</v>
      </c>
      <c r="G729" s="5">
        <v>27.59</v>
      </c>
      <c r="H729" s="4">
        <v>0</v>
      </c>
    </row>
    <row r="730" spans="1:8" x14ac:dyDescent="0.2">
      <c r="A730" s="2" t="s">
        <v>68</v>
      </c>
      <c r="B730" s="4">
        <v>4</v>
      </c>
      <c r="C730" s="5">
        <v>1.43</v>
      </c>
      <c r="D730" s="4">
        <v>0</v>
      </c>
      <c r="E730" s="5">
        <v>0</v>
      </c>
      <c r="F730" s="4">
        <v>4</v>
      </c>
      <c r="G730" s="5">
        <v>2.76</v>
      </c>
      <c r="H730" s="4">
        <v>0</v>
      </c>
    </row>
    <row r="731" spans="1:8" x14ac:dyDescent="0.2">
      <c r="A731" s="2" t="s">
        <v>69</v>
      </c>
      <c r="B731" s="4">
        <v>13</v>
      </c>
      <c r="C731" s="5">
        <v>4.66</v>
      </c>
      <c r="D731" s="4">
        <v>4</v>
      </c>
      <c r="E731" s="5">
        <v>3.03</v>
      </c>
      <c r="F731" s="4">
        <v>9</v>
      </c>
      <c r="G731" s="5">
        <v>6.21</v>
      </c>
      <c r="H731" s="4">
        <v>0</v>
      </c>
    </row>
    <row r="732" spans="1:8" x14ac:dyDescent="0.2">
      <c r="A732" s="2" t="s">
        <v>70</v>
      </c>
      <c r="B732" s="4">
        <v>15</v>
      </c>
      <c r="C732" s="5">
        <v>5.38</v>
      </c>
      <c r="D732" s="4">
        <v>4</v>
      </c>
      <c r="E732" s="5">
        <v>3.03</v>
      </c>
      <c r="F732" s="4">
        <v>10</v>
      </c>
      <c r="G732" s="5">
        <v>6.9</v>
      </c>
      <c r="H732" s="4">
        <v>0</v>
      </c>
    </row>
    <row r="733" spans="1:8" x14ac:dyDescent="0.2">
      <c r="A733" s="2" t="s">
        <v>71</v>
      </c>
      <c r="B733" s="4">
        <v>20</v>
      </c>
      <c r="C733" s="5">
        <v>7.17</v>
      </c>
      <c r="D733" s="4">
        <v>19</v>
      </c>
      <c r="E733" s="5">
        <v>14.39</v>
      </c>
      <c r="F733" s="4">
        <v>0</v>
      </c>
      <c r="G733" s="5">
        <v>0</v>
      </c>
      <c r="H733" s="4">
        <v>0</v>
      </c>
    </row>
    <row r="734" spans="1:8" x14ac:dyDescent="0.2">
      <c r="A734" s="2" t="s">
        <v>72</v>
      </c>
      <c r="B734" s="4">
        <v>41</v>
      </c>
      <c r="C734" s="5">
        <v>14.7</v>
      </c>
      <c r="D734" s="4">
        <v>32</v>
      </c>
      <c r="E734" s="5">
        <v>24.24</v>
      </c>
      <c r="F734" s="4">
        <v>9</v>
      </c>
      <c r="G734" s="5">
        <v>6.21</v>
      </c>
      <c r="H734" s="4">
        <v>0</v>
      </c>
    </row>
    <row r="735" spans="1:8" x14ac:dyDescent="0.2">
      <c r="A735" s="2" t="s">
        <v>73</v>
      </c>
      <c r="B735" s="4">
        <v>7</v>
      </c>
      <c r="C735" s="5">
        <v>2.5099999999999998</v>
      </c>
      <c r="D735" s="4">
        <v>5</v>
      </c>
      <c r="E735" s="5">
        <v>3.79</v>
      </c>
      <c r="F735" s="4">
        <v>2</v>
      </c>
      <c r="G735" s="5">
        <v>1.38</v>
      </c>
      <c r="H735" s="4">
        <v>0</v>
      </c>
    </row>
    <row r="736" spans="1:8" x14ac:dyDescent="0.2">
      <c r="A736" s="2" t="s">
        <v>74</v>
      </c>
      <c r="B736" s="4">
        <v>20</v>
      </c>
      <c r="C736" s="5">
        <v>7.17</v>
      </c>
      <c r="D736" s="4">
        <v>14</v>
      </c>
      <c r="E736" s="5">
        <v>10.61</v>
      </c>
      <c r="F736" s="4">
        <v>6</v>
      </c>
      <c r="G736" s="5">
        <v>4.1399999999999997</v>
      </c>
      <c r="H736" s="4">
        <v>0</v>
      </c>
    </row>
    <row r="737" spans="1:8" x14ac:dyDescent="0.2">
      <c r="A737" s="2" t="s">
        <v>75</v>
      </c>
      <c r="B737" s="4">
        <v>16</v>
      </c>
      <c r="C737" s="5">
        <v>5.73</v>
      </c>
      <c r="D737" s="4">
        <v>6</v>
      </c>
      <c r="E737" s="5">
        <v>4.55</v>
      </c>
      <c r="F737" s="4">
        <v>10</v>
      </c>
      <c r="G737" s="5">
        <v>6.9</v>
      </c>
      <c r="H737" s="4">
        <v>0</v>
      </c>
    </row>
    <row r="738" spans="1:8" x14ac:dyDescent="0.2">
      <c r="A738" s="1" t="s">
        <v>46</v>
      </c>
      <c r="B738" s="4">
        <v>125</v>
      </c>
      <c r="C738" s="5">
        <v>100</v>
      </c>
      <c r="D738" s="4">
        <v>84</v>
      </c>
      <c r="E738" s="5">
        <v>99.99</v>
      </c>
      <c r="F738" s="4">
        <v>41</v>
      </c>
      <c r="G738" s="5">
        <v>100.00999999999999</v>
      </c>
      <c r="H738" s="4">
        <v>0</v>
      </c>
    </row>
    <row r="739" spans="1:8" x14ac:dyDescent="0.2">
      <c r="A739" s="2" t="s">
        <v>61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2">
      <c r="A740" s="2" t="s">
        <v>62</v>
      </c>
      <c r="B740" s="4">
        <v>21</v>
      </c>
      <c r="C740" s="5">
        <v>16.8</v>
      </c>
      <c r="D740" s="4">
        <v>12</v>
      </c>
      <c r="E740" s="5">
        <v>14.29</v>
      </c>
      <c r="F740" s="4">
        <v>9</v>
      </c>
      <c r="G740" s="5">
        <v>21.95</v>
      </c>
      <c r="H740" s="4">
        <v>0</v>
      </c>
    </row>
    <row r="741" spans="1:8" x14ac:dyDescent="0.2">
      <c r="A741" s="2" t="s">
        <v>63</v>
      </c>
      <c r="B741" s="4">
        <v>16</v>
      </c>
      <c r="C741" s="5">
        <v>12.8</v>
      </c>
      <c r="D741" s="4">
        <v>9</v>
      </c>
      <c r="E741" s="5">
        <v>10.71</v>
      </c>
      <c r="F741" s="4">
        <v>7</v>
      </c>
      <c r="G741" s="5">
        <v>17.07</v>
      </c>
      <c r="H741" s="4">
        <v>0</v>
      </c>
    </row>
    <row r="742" spans="1:8" x14ac:dyDescent="0.2">
      <c r="A742" s="2" t="s">
        <v>64</v>
      </c>
      <c r="B742" s="4">
        <v>0</v>
      </c>
      <c r="C742" s="5">
        <v>0</v>
      </c>
      <c r="D742" s="4">
        <v>0</v>
      </c>
      <c r="E742" s="5">
        <v>0</v>
      </c>
      <c r="F742" s="4">
        <v>0</v>
      </c>
      <c r="G742" s="5">
        <v>0</v>
      </c>
      <c r="H742" s="4">
        <v>0</v>
      </c>
    </row>
    <row r="743" spans="1:8" x14ac:dyDescent="0.2">
      <c r="A743" s="2" t="s">
        <v>65</v>
      </c>
      <c r="B743" s="4">
        <v>0</v>
      </c>
      <c r="C743" s="5">
        <v>0</v>
      </c>
      <c r="D743" s="4">
        <v>0</v>
      </c>
      <c r="E743" s="5">
        <v>0</v>
      </c>
      <c r="F743" s="4">
        <v>0</v>
      </c>
      <c r="G743" s="5">
        <v>0</v>
      </c>
      <c r="H743" s="4">
        <v>0</v>
      </c>
    </row>
    <row r="744" spans="1:8" x14ac:dyDescent="0.2">
      <c r="A744" s="2" t="s">
        <v>66</v>
      </c>
      <c r="B744" s="4">
        <v>1</v>
      </c>
      <c r="C744" s="5">
        <v>0.8</v>
      </c>
      <c r="D744" s="4">
        <v>0</v>
      </c>
      <c r="E744" s="5">
        <v>0</v>
      </c>
      <c r="F744" s="4">
        <v>1</v>
      </c>
      <c r="G744" s="5">
        <v>2.44</v>
      </c>
      <c r="H744" s="4">
        <v>0</v>
      </c>
    </row>
    <row r="745" spans="1:8" x14ac:dyDescent="0.2">
      <c r="A745" s="2" t="s">
        <v>67</v>
      </c>
      <c r="B745" s="4">
        <v>29</v>
      </c>
      <c r="C745" s="5">
        <v>23.2</v>
      </c>
      <c r="D745" s="4">
        <v>21</v>
      </c>
      <c r="E745" s="5">
        <v>25</v>
      </c>
      <c r="F745" s="4">
        <v>8</v>
      </c>
      <c r="G745" s="5">
        <v>19.510000000000002</v>
      </c>
      <c r="H745" s="4">
        <v>0</v>
      </c>
    </row>
    <row r="746" spans="1:8" x14ac:dyDescent="0.2">
      <c r="A746" s="2" t="s">
        <v>68</v>
      </c>
      <c r="B746" s="4">
        <v>1</v>
      </c>
      <c r="C746" s="5">
        <v>0.8</v>
      </c>
      <c r="D746" s="4">
        <v>1</v>
      </c>
      <c r="E746" s="5">
        <v>1.19</v>
      </c>
      <c r="F746" s="4">
        <v>0</v>
      </c>
      <c r="G746" s="5">
        <v>0</v>
      </c>
      <c r="H746" s="4">
        <v>0</v>
      </c>
    </row>
    <row r="747" spans="1:8" x14ac:dyDescent="0.2">
      <c r="A747" s="2" t="s">
        <v>69</v>
      </c>
      <c r="B747" s="4">
        <v>4</v>
      </c>
      <c r="C747" s="5">
        <v>3.2</v>
      </c>
      <c r="D747" s="4">
        <v>0</v>
      </c>
      <c r="E747" s="5">
        <v>0</v>
      </c>
      <c r="F747" s="4">
        <v>4</v>
      </c>
      <c r="G747" s="5">
        <v>9.76</v>
      </c>
      <c r="H747" s="4">
        <v>0</v>
      </c>
    </row>
    <row r="748" spans="1:8" x14ac:dyDescent="0.2">
      <c r="A748" s="2" t="s">
        <v>70</v>
      </c>
      <c r="B748" s="4">
        <v>1</v>
      </c>
      <c r="C748" s="5">
        <v>0.8</v>
      </c>
      <c r="D748" s="4">
        <v>0</v>
      </c>
      <c r="E748" s="5">
        <v>0</v>
      </c>
      <c r="F748" s="4">
        <v>1</v>
      </c>
      <c r="G748" s="5">
        <v>2.44</v>
      </c>
      <c r="H748" s="4">
        <v>0</v>
      </c>
    </row>
    <row r="749" spans="1:8" x14ac:dyDescent="0.2">
      <c r="A749" s="2" t="s">
        <v>71</v>
      </c>
      <c r="B749" s="4">
        <v>11</v>
      </c>
      <c r="C749" s="5">
        <v>8.8000000000000007</v>
      </c>
      <c r="D749" s="4">
        <v>10</v>
      </c>
      <c r="E749" s="5">
        <v>11.9</v>
      </c>
      <c r="F749" s="4">
        <v>1</v>
      </c>
      <c r="G749" s="5">
        <v>2.44</v>
      </c>
      <c r="H749" s="4">
        <v>0</v>
      </c>
    </row>
    <row r="750" spans="1:8" x14ac:dyDescent="0.2">
      <c r="A750" s="2" t="s">
        <v>72</v>
      </c>
      <c r="B750" s="4">
        <v>17</v>
      </c>
      <c r="C750" s="5">
        <v>13.6</v>
      </c>
      <c r="D750" s="4">
        <v>15</v>
      </c>
      <c r="E750" s="5">
        <v>17.86</v>
      </c>
      <c r="F750" s="4">
        <v>2</v>
      </c>
      <c r="G750" s="5">
        <v>4.88</v>
      </c>
      <c r="H750" s="4">
        <v>0</v>
      </c>
    </row>
    <row r="751" spans="1:8" x14ac:dyDescent="0.2">
      <c r="A751" s="2" t="s">
        <v>73</v>
      </c>
      <c r="B751" s="4">
        <v>8</v>
      </c>
      <c r="C751" s="5">
        <v>6.4</v>
      </c>
      <c r="D751" s="4">
        <v>6</v>
      </c>
      <c r="E751" s="5">
        <v>7.14</v>
      </c>
      <c r="F751" s="4">
        <v>2</v>
      </c>
      <c r="G751" s="5">
        <v>4.88</v>
      </c>
      <c r="H751" s="4">
        <v>0</v>
      </c>
    </row>
    <row r="752" spans="1:8" x14ac:dyDescent="0.2">
      <c r="A752" s="2" t="s">
        <v>74</v>
      </c>
      <c r="B752" s="4">
        <v>9</v>
      </c>
      <c r="C752" s="5">
        <v>7.2</v>
      </c>
      <c r="D752" s="4">
        <v>5</v>
      </c>
      <c r="E752" s="5">
        <v>5.95</v>
      </c>
      <c r="F752" s="4">
        <v>4</v>
      </c>
      <c r="G752" s="5">
        <v>9.76</v>
      </c>
      <c r="H752" s="4">
        <v>0</v>
      </c>
    </row>
    <row r="753" spans="1:8" x14ac:dyDescent="0.2">
      <c r="A753" s="2" t="s">
        <v>75</v>
      </c>
      <c r="B753" s="4">
        <v>7</v>
      </c>
      <c r="C753" s="5">
        <v>5.6</v>
      </c>
      <c r="D753" s="4">
        <v>5</v>
      </c>
      <c r="E753" s="5">
        <v>5.95</v>
      </c>
      <c r="F753" s="4">
        <v>2</v>
      </c>
      <c r="G753" s="5">
        <v>4.88</v>
      </c>
      <c r="H753" s="4">
        <v>0</v>
      </c>
    </row>
    <row r="754" spans="1:8" x14ac:dyDescent="0.2">
      <c r="A754" s="1" t="s">
        <v>47</v>
      </c>
      <c r="B754" s="4">
        <v>426</v>
      </c>
      <c r="C754" s="5">
        <v>99.99</v>
      </c>
      <c r="D754" s="4">
        <v>265</v>
      </c>
      <c r="E754" s="5">
        <v>100.01000000000002</v>
      </c>
      <c r="F754" s="4">
        <v>158</v>
      </c>
      <c r="G754" s="5">
        <v>99.97999999999999</v>
      </c>
      <c r="H754" s="4">
        <v>0</v>
      </c>
    </row>
    <row r="755" spans="1:8" x14ac:dyDescent="0.2">
      <c r="A755" s="2" t="s">
        <v>61</v>
      </c>
      <c r="B755" s="4">
        <v>2</v>
      </c>
      <c r="C755" s="5">
        <v>0.47</v>
      </c>
      <c r="D755" s="4">
        <v>1</v>
      </c>
      <c r="E755" s="5">
        <v>0.38</v>
      </c>
      <c r="F755" s="4">
        <v>1</v>
      </c>
      <c r="G755" s="5">
        <v>0.63</v>
      </c>
      <c r="H755" s="4">
        <v>0</v>
      </c>
    </row>
    <row r="756" spans="1:8" x14ac:dyDescent="0.2">
      <c r="A756" s="2" t="s">
        <v>62</v>
      </c>
      <c r="B756" s="4">
        <v>98</v>
      </c>
      <c r="C756" s="5">
        <v>23</v>
      </c>
      <c r="D756" s="4">
        <v>59</v>
      </c>
      <c r="E756" s="5">
        <v>22.26</v>
      </c>
      <c r="F756" s="4">
        <v>39</v>
      </c>
      <c r="G756" s="5">
        <v>24.68</v>
      </c>
      <c r="H756" s="4">
        <v>0</v>
      </c>
    </row>
    <row r="757" spans="1:8" x14ac:dyDescent="0.2">
      <c r="A757" s="2" t="s">
        <v>63</v>
      </c>
      <c r="B757" s="4">
        <v>26</v>
      </c>
      <c r="C757" s="5">
        <v>6.1</v>
      </c>
      <c r="D757" s="4">
        <v>7</v>
      </c>
      <c r="E757" s="5">
        <v>2.64</v>
      </c>
      <c r="F757" s="4">
        <v>19</v>
      </c>
      <c r="G757" s="5">
        <v>12.03</v>
      </c>
      <c r="H757" s="4">
        <v>0</v>
      </c>
    </row>
    <row r="758" spans="1:8" x14ac:dyDescent="0.2">
      <c r="A758" s="2" t="s">
        <v>64</v>
      </c>
      <c r="B758" s="4">
        <v>6</v>
      </c>
      <c r="C758" s="5">
        <v>1.41</v>
      </c>
      <c r="D758" s="4">
        <v>0</v>
      </c>
      <c r="E758" s="5">
        <v>0</v>
      </c>
      <c r="F758" s="4">
        <v>4</v>
      </c>
      <c r="G758" s="5">
        <v>2.5299999999999998</v>
      </c>
      <c r="H758" s="4">
        <v>0</v>
      </c>
    </row>
    <row r="759" spans="1:8" x14ac:dyDescent="0.2">
      <c r="A759" s="2" t="s">
        <v>65</v>
      </c>
      <c r="B759" s="4">
        <v>1</v>
      </c>
      <c r="C759" s="5">
        <v>0.23</v>
      </c>
      <c r="D759" s="4">
        <v>0</v>
      </c>
      <c r="E759" s="5">
        <v>0</v>
      </c>
      <c r="F759" s="4">
        <v>1</v>
      </c>
      <c r="G759" s="5">
        <v>0.63</v>
      </c>
      <c r="H759" s="4">
        <v>0</v>
      </c>
    </row>
    <row r="760" spans="1:8" x14ac:dyDescent="0.2">
      <c r="A760" s="2" t="s">
        <v>66</v>
      </c>
      <c r="B760" s="4">
        <v>9</v>
      </c>
      <c r="C760" s="5">
        <v>2.11</v>
      </c>
      <c r="D760" s="4">
        <v>1</v>
      </c>
      <c r="E760" s="5">
        <v>0.38</v>
      </c>
      <c r="F760" s="4">
        <v>8</v>
      </c>
      <c r="G760" s="5">
        <v>5.0599999999999996</v>
      </c>
      <c r="H760" s="4">
        <v>0</v>
      </c>
    </row>
    <row r="761" spans="1:8" x14ac:dyDescent="0.2">
      <c r="A761" s="2" t="s">
        <v>67</v>
      </c>
      <c r="B761" s="4">
        <v>106</v>
      </c>
      <c r="C761" s="5">
        <v>24.88</v>
      </c>
      <c r="D761" s="4">
        <v>64</v>
      </c>
      <c r="E761" s="5">
        <v>24.15</v>
      </c>
      <c r="F761" s="4">
        <v>42</v>
      </c>
      <c r="G761" s="5">
        <v>26.58</v>
      </c>
      <c r="H761" s="4">
        <v>0</v>
      </c>
    </row>
    <row r="762" spans="1:8" x14ac:dyDescent="0.2">
      <c r="A762" s="2" t="s">
        <v>68</v>
      </c>
      <c r="B762" s="4">
        <v>4</v>
      </c>
      <c r="C762" s="5">
        <v>0.94</v>
      </c>
      <c r="D762" s="4">
        <v>0</v>
      </c>
      <c r="E762" s="5">
        <v>0</v>
      </c>
      <c r="F762" s="4">
        <v>4</v>
      </c>
      <c r="G762" s="5">
        <v>2.5299999999999998</v>
      </c>
      <c r="H762" s="4">
        <v>0</v>
      </c>
    </row>
    <row r="763" spans="1:8" x14ac:dyDescent="0.2">
      <c r="A763" s="2" t="s">
        <v>69</v>
      </c>
      <c r="B763" s="4">
        <v>30</v>
      </c>
      <c r="C763" s="5">
        <v>7.04</v>
      </c>
      <c r="D763" s="4">
        <v>16</v>
      </c>
      <c r="E763" s="5">
        <v>6.04</v>
      </c>
      <c r="F763" s="4">
        <v>14</v>
      </c>
      <c r="G763" s="5">
        <v>8.86</v>
      </c>
      <c r="H763" s="4">
        <v>0</v>
      </c>
    </row>
    <row r="764" spans="1:8" x14ac:dyDescent="0.2">
      <c r="A764" s="2" t="s">
        <v>70</v>
      </c>
      <c r="B764" s="4">
        <v>18</v>
      </c>
      <c r="C764" s="5">
        <v>4.2300000000000004</v>
      </c>
      <c r="D764" s="4">
        <v>13</v>
      </c>
      <c r="E764" s="5">
        <v>4.91</v>
      </c>
      <c r="F764" s="4">
        <v>5</v>
      </c>
      <c r="G764" s="5">
        <v>3.16</v>
      </c>
      <c r="H764" s="4">
        <v>0</v>
      </c>
    </row>
    <row r="765" spans="1:8" x14ac:dyDescent="0.2">
      <c r="A765" s="2" t="s">
        <v>71</v>
      </c>
      <c r="B765" s="4">
        <v>35</v>
      </c>
      <c r="C765" s="5">
        <v>8.2200000000000006</v>
      </c>
      <c r="D765" s="4">
        <v>30</v>
      </c>
      <c r="E765" s="5">
        <v>11.32</v>
      </c>
      <c r="F765" s="4">
        <v>4</v>
      </c>
      <c r="G765" s="5">
        <v>2.5299999999999998</v>
      </c>
      <c r="H765" s="4">
        <v>0</v>
      </c>
    </row>
    <row r="766" spans="1:8" x14ac:dyDescent="0.2">
      <c r="A766" s="2" t="s">
        <v>72</v>
      </c>
      <c r="B766" s="4">
        <v>53</v>
      </c>
      <c r="C766" s="5">
        <v>12.44</v>
      </c>
      <c r="D766" s="4">
        <v>46</v>
      </c>
      <c r="E766" s="5">
        <v>17.36</v>
      </c>
      <c r="F766" s="4">
        <v>7</v>
      </c>
      <c r="G766" s="5">
        <v>4.43</v>
      </c>
      <c r="H766" s="4">
        <v>0</v>
      </c>
    </row>
    <row r="767" spans="1:8" x14ac:dyDescent="0.2">
      <c r="A767" s="2" t="s">
        <v>73</v>
      </c>
      <c r="B767" s="4">
        <v>6</v>
      </c>
      <c r="C767" s="5">
        <v>1.41</v>
      </c>
      <c r="D767" s="4">
        <v>5</v>
      </c>
      <c r="E767" s="5">
        <v>1.89</v>
      </c>
      <c r="F767" s="4">
        <v>1</v>
      </c>
      <c r="G767" s="5">
        <v>0.63</v>
      </c>
      <c r="H767" s="4">
        <v>0</v>
      </c>
    </row>
    <row r="768" spans="1:8" x14ac:dyDescent="0.2">
      <c r="A768" s="2" t="s">
        <v>74</v>
      </c>
      <c r="B768" s="4">
        <v>13</v>
      </c>
      <c r="C768" s="5">
        <v>3.05</v>
      </c>
      <c r="D768" s="4">
        <v>11</v>
      </c>
      <c r="E768" s="5">
        <v>4.1500000000000004</v>
      </c>
      <c r="F768" s="4">
        <v>2</v>
      </c>
      <c r="G768" s="5">
        <v>1.27</v>
      </c>
      <c r="H768" s="4">
        <v>0</v>
      </c>
    </row>
    <row r="769" spans="1:8" x14ac:dyDescent="0.2">
      <c r="A769" s="2" t="s">
        <v>75</v>
      </c>
      <c r="B769" s="4">
        <v>19</v>
      </c>
      <c r="C769" s="5">
        <v>4.46</v>
      </c>
      <c r="D769" s="4">
        <v>12</v>
      </c>
      <c r="E769" s="5">
        <v>4.53</v>
      </c>
      <c r="F769" s="4">
        <v>7</v>
      </c>
      <c r="G769" s="5">
        <v>4.43</v>
      </c>
      <c r="H769" s="4">
        <v>0</v>
      </c>
    </row>
    <row r="770" spans="1:8" x14ac:dyDescent="0.2">
      <c r="A770" s="1" t="s">
        <v>48</v>
      </c>
      <c r="B770" s="4">
        <v>318</v>
      </c>
      <c r="C770" s="5">
        <v>99.98</v>
      </c>
      <c r="D770" s="4">
        <v>230</v>
      </c>
      <c r="E770" s="5">
        <v>99.97999999999999</v>
      </c>
      <c r="F770" s="4">
        <v>83</v>
      </c>
      <c r="G770" s="5">
        <v>99.989999999999981</v>
      </c>
      <c r="H770" s="4">
        <v>0</v>
      </c>
    </row>
    <row r="771" spans="1:8" x14ac:dyDescent="0.2">
      <c r="A771" s="2" t="s">
        <v>61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2">
      <c r="A772" s="2" t="s">
        <v>62</v>
      </c>
      <c r="B772" s="4">
        <v>70</v>
      </c>
      <c r="C772" s="5">
        <v>22.01</v>
      </c>
      <c r="D772" s="4">
        <v>44</v>
      </c>
      <c r="E772" s="5">
        <v>19.13</v>
      </c>
      <c r="F772" s="4">
        <v>26</v>
      </c>
      <c r="G772" s="5">
        <v>31.33</v>
      </c>
      <c r="H772" s="4">
        <v>0</v>
      </c>
    </row>
    <row r="773" spans="1:8" x14ac:dyDescent="0.2">
      <c r="A773" s="2" t="s">
        <v>63</v>
      </c>
      <c r="B773" s="4">
        <v>43</v>
      </c>
      <c r="C773" s="5">
        <v>13.52</v>
      </c>
      <c r="D773" s="4">
        <v>32</v>
      </c>
      <c r="E773" s="5">
        <v>13.91</v>
      </c>
      <c r="F773" s="4">
        <v>11</v>
      </c>
      <c r="G773" s="5">
        <v>13.25</v>
      </c>
      <c r="H773" s="4">
        <v>0</v>
      </c>
    </row>
    <row r="774" spans="1:8" x14ac:dyDescent="0.2">
      <c r="A774" s="2" t="s">
        <v>64</v>
      </c>
      <c r="B774" s="4">
        <v>3</v>
      </c>
      <c r="C774" s="5">
        <v>0.94</v>
      </c>
      <c r="D774" s="4">
        <v>0</v>
      </c>
      <c r="E774" s="5">
        <v>0</v>
      </c>
      <c r="F774" s="4">
        <v>2</v>
      </c>
      <c r="G774" s="5">
        <v>2.41</v>
      </c>
      <c r="H774" s="4">
        <v>0</v>
      </c>
    </row>
    <row r="775" spans="1:8" x14ac:dyDescent="0.2">
      <c r="A775" s="2" t="s">
        <v>65</v>
      </c>
      <c r="B775" s="4">
        <v>0</v>
      </c>
      <c r="C775" s="5">
        <v>0</v>
      </c>
      <c r="D775" s="4">
        <v>0</v>
      </c>
      <c r="E775" s="5">
        <v>0</v>
      </c>
      <c r="F775" s="4">
        <v>0</v>
      </c>
      <c r="G775" s="5">
        <v>0</v>
      </c>
      <c r="H775" s="4">
        <v>0</v>
      </c>
    </row>
    <row r="776" spans="1:8" x14ac:dyDescent="0.2">
      <c r="A776" s="2" t="s">
        <v>66</v>
      </c>
      <c r="B776" s="4">
        <v>2</v>
      </c>
      <c r="C776" s="5">
        <v>0.63</v>
      </c>
      <c r="D776" s="4">
        <v>1</v>
      </c>
      <c r="E776" s="5">
        <v>0.43</v>
      </c>
      <c r="F776" s="4">
        <v>1</v>
      </c>
      <c r="G776" s="5">
        <v>1.2</v>
      </c>
      <c r="H776" s="4">
        <v>0</v>
      </c>
    </row>
    <row r="777" spans="1:8" x14ac:dyDescent="0.2">
      <c r="A777" s="2" t="s">
        <v>67</v>
      </c>
      <c r="B777" s="4">
        <v>75</v>
      </c>
      <c r="C777" s="5">
        <v>23.58</v>
      </c>
      <c r="D777" s="4">
        <v>55</v>
      </c>
      <c r="E777" s="5">
        <v>23.91</v>
      </c>
      <c r="F777" s="4">
        <v>20</v>
      </c>
      <c r="G777" s="5">
        <v>24.1</v>
      </c>
      <c r="H777" s="4">
        <v>0</v>
      </c>
    </row>
    <row r="778" spans="1:8" x14ac:dyDescent="0.2">
      <c r="A778" s="2" t="s">
        <v>68</v>
      </c>
      <c r="B778" s="4">
        <v>1</v>
      </c>
      <c r="C778" s="5">
        <v>0.31</v>
      </c>
      <c r="D778" s="4">
        <v>0</v>
      </c>
      <c r="E778" s="5">
        <v>0</v>
      </c>
      <c r="F778" s="4">
        <v>1</v>
      </c>
      <c r="G778" s="5">
        <v>1.2</v>
      </c>
      <c r="H778" s="4">
        <v>0</v>
      </c>
    </row>
    <row r="779" spans="1:8" x14ac:dyDescent="0.2">
      <c r="A779" s="2" t="s">
        <v>69</v>
      </c>
      <c r="B779" s="4">
        <v>4</v>
      </c>
      <c r="C779" s="5">
        <v>1.26</v>
      </c>
      <c r="D779" s="4">
        <v>2</v>
      </c>
      <c r="E779" s="5">
        <v>0.87</v>
      </c>
      <c r="F779" s="4">
        <v>2</v>
      </c>
      <c r="G779" s="5">
        <v>2.41</v>
      </c>
      <c r="H779" s="4">
        <v>0</v>
      </c>
    </row>
    <row r="780" spans="1:8" x14ac:dyDescent="0.2">
      <c r="A780" s="2" t="s">
        <v>70</v>
      </c>
      <c r="B780" s="4">
        <v>4</v>
      </c>
      <c r="C780" s="5">
        <v>1.26</v>
      </c>
      <c r="D780" s="4">
        <v>1</v>
      </c>
      <c r="E780" s="5">
        <v>0.43</v>
      </c>
      <c r="F780" s="4">
        <v>3</v>
      </c>
      <c r="G780" s="5">
        <v>3.61</v>
      </c>
      <c r="H780" s="4">
        <v>0</v>
      </c>
    </row>
    <row r="781" spans="1:8" x14ac:dyDescent="0.2">
      <c r="A781" s="2" t="s">
        <v>71</v>
      </c>
      <c r="B781" s="4">
        <v>30</v>
      </c>
      <c r="C781" s="5">
        <v>9.43</v>
      </c>
      <c r="D781" s="4">
        <v>26</v>
      </c>
      <c r="E781" s="5">
        <v>11.3</v>
      </c>
      <c r="F781" s="4">
        <v>3</v>
      </c>
      <c r="G781" s="5">
        <v>3.61</v>
      </c>
      <c r="H781" s="4">
        <v>0</v>
      </c>
    </row>
    <row r="782" spans="1:8" x14ac:dyDescent="0.2">
      <c r="A782" s="2" t="s">
        <v>72</v>
      </c>
      <c r="B782" s="4">
        <v>48</v>
      </c>
      <c r="C782" s="5">
        <v>15.09</v>
      </c>
      <c r="D782" s="4">
        <v>42</v>
      </c>
      <c r="E782" s="5">
        <v>18.260000000000002</v>
      </c>
      <c r="F782" s="4">
        <v>6</v>
      </c>
      <c r="G782" s="5">
        <v>7.23</v>
      </c>
      <c r="H782" s="4">
        <v>0</v>
      </c>
    </row>
    <row r="783" spans="1:8" x14ac:dyDescent="0.2">
      <c r="A783" s="2" t="s">
        <v>73</v>
      </c>
      <c r="B783" s="4">
        <v>9</v>
      </c>
      <c r="C783" s="5">
        <v>2.83</v>
      </c>
      <c r="D783" s="4">
        <v>6</v>
      </c>
      <c r="E783" s="5">
        <v>2.61</v>
      </c>
      <c r="F783" s="4">
        <v>2</v>
      </c>
      <c r="G783" s="5">
        <v>2.41</v>
      </c>
      <c r="H783" s="4">
        <v>0</v>
      </c>
    </row>
    <row r="784" spans="1:8" x14ac:dyDescent="0.2">
      <c r="A784" s="2" t="s">
        <v>74</v>
      </c>
      <c r="B784" s="4">
        <v>16</v>
      </c>
      <c r="C784" s="5">
        <v>5.03</v>
      </c>
      <c r="D784" s="4">
        <v>10</v>
      </c>
      <c r="E784" s="5">
        <v>4.3499999999999996</v>
      </c>
      <c r="F784" s="4">
        <v>4</v>
      </c>
      <c r="G784" s="5">
        <v>4.82</v>
      </c>
      <c r="H784" s="4">
        <v>0</v>
      </c>
    </row>
    <row r="785" spans="1:8" x14ac:dyDescent="0.2">
      <c r="A785" s="2" t="s">
        <v>75</v>
      </c>
      <c r="B785" s="4">
        <v>13</v>
      </c>
      <c r="C785" s="5">
        <v>4.09</v>
      </c>
      <c r="D785" s="4">
        <v>11</v>
      </c>
      <c r="E785" s="5">
        <v>4.78</v>
      </c>
      <c r="F785" s="4">
        <v>2</v>
      </c>
      <c r="G785" s="5">
        <v>2.41</v>
      </c>
      <c r="H785" s="4">
        <v>0</v>
      </c>
    </row>
    <row r="786" spans="1:8" x14ac:dyDescent="0.2">
      <c r="A786" s="1" t="s">
        <v>49</v>
      </c>
      <c r="B786" s="4">
        <v>432</v>
      </c>
      <c r="C786" s="5">
        <v>100</v>
      </c>
      <c r="D786" s="4">
        <v>246</v>
      </c>
      <c r="E786" s="5">
        <v>100.00999999999999</v>
      </c>
      <c r="F786" s="4">
        <v>182</v>
      </c>
      <c r="G786" s="5">
        <v>100.00000000000001</v>
      </c>
      <c r="H786" s="4">
        <v>0</v>
      </c>
    </row>
    <row r="787" spans="1:8" x14ac:dyDescent="0.2">
      <c r="A787" s="2" t="s">
        <v>61</v>
      </c>
      <c r="B787" s="4">
        <v>0</v>
      </c>
      <c r="C787" s="5">
        <v>0</v>
      </c>
      <c r="D787" s="4">
        <v>0</v>
      </c>
      <c r="E787" s="5">
        <v>0</v>
      </c>
      <c r="F787" s="4">
        <v>0</v>
      </c>
      <c r="G787" s="5">
        <v>0</v>
      </c>
      <c r="H787" s="4">
        <v>0</v>
      </c>
    </row>
    <row r="788" spans="1:8" x14ac:dyDescent="0.2">
      <c r="A788" s="2" t="s">
        <v>62</v>
      </c>
      <c r="B788" s="4">
        <v>87</v>
      </c>
      <c r="C788" s="5">
        <v>20.14</v>
      </c>
      <c r="D788" s="4">
        <v>37</v>
      </c>
      <c r="E788" s="5">
        <v>15.04</v>
      </c>
      <c r="F788" s="4">
        <v>50</v>
      </c>
      <c r="G788" s="5">
        <v>27.47</v>
      </c>
      <c r="H788" s="4">
        <v>0</v>
      </c>
    </row>
    <row r="789" spans="1:8" x14ac:dyDescent="0.2">
      <c r="A789" s="2" t="s">
        <v>63</v>
      </c>
      <c r="B789" s="4">
        <v>68</v>
      </c>
      <c r="C789" s="5">
        <v>15.74</v>
      </c>
      <c r="D789" s="4">
        <v>32</v>
      </c>
      <c r="E789" s="5">
        <v>13.01</v>
      </c>
      <c r="F789" s="4">
        <v>36</v>
      </c>
      <c r="G789" s="5">
        <v>19.78</v>
      </c>
      <c r="H789" s="4">
        <v>0</v>
      </c>
    </row>
    <row r="790" spans="1:8" x14ac:dyDescent="0.2">
      <c r="A790" s="2" t="s">
        <v>64</v>
      </c>
      <c r="B790" s="4">
        <v>1</v>
      </c>
      <c r="C790" s="5">
        <v>0.23</v>
      </c>
      <c r="D790" s="4">
        <v>0</v>
      </c>
      <c r="E790" s="5">
        <v>0</v>
      </c>
      <c r="F790" s="4">
        <v>1</v>
      </c>
      <c r="G790" s="5">
        <v>0.55000000000000004</v>
      </c>
      <c r="H790" s="4">
        <v>0</v>
      </c>
    </row>
    <row r="791" spans="1:8" x14ac:dyDescent="0.2">
      <c r="A791" s="2" t="s">
        <v>65</v>
      </c>
      <c r="B791" s="4">
        <v>2</v>
      </c>
      <c r="C791" s="5">
        <v>0.46</v>
      </c>
      <c r="D791" s="4">
        <v>0</v>
      </c>
      <c r="E791" s="5">
        <v>0</v>
      </c>
      <c r="F791" s="4">
        <v>2</v>
      </c>
      <c r="G791" s="5">
        <v>1.1000000000000001</v>
      </c>
      <c r="H791" s="4">
        <v>0</v>
      </c>
    </row>
    <row r="792" spans="1:8" x14ac:dyDescent="0.2">
      <c r="A792" s="2" t="s">
        <v>66</v>
      </c>
      <c r="B792" s="4">
        <v>0</v>
      </c>
      <c r="C792" s="5">
        <v>0</v>
      </c>
      <c r="D792" s="4">
        <v>0</v>
      </c>
      <c r="E792" s="5">
        <v>0</v>
      </c>
      <c r="F792" s="4">
        <v>0</v>
      </c>
      <c r="G792" s="5">
        <v>0</v>
      </c>
      <c r="H792" s="4">
        <v>0</v>
      </c>
    </row>
    <row r="793" spans="1:8" x14ac:dyDescent="0.2">
      <c r="A793" s="2" t="s">
        <v>67</v>
      </c>
      <c r="B793" s="4">
        <v>85</v>
      </c>
      <c r="C793" s="5">
        <v>19.68</v>
      </c>
      <c r="D793" s="4">
        <v>49</v>
      </c>
      <c r="E793" s="5">
        <v>19.920000000000002</v>
      </c>
      <c r="F793" s="4">
        <v>36</v>
      </c>
      <c r="G793" s="5">
        <v>19.78</v>
      </c>
      <c r="H793" s="4">
        <v>0</v>
      </c>
    </row>
    <row r="794" spans="1:8" x14ac:dyDescent="0.2">
      <c r="A794" s="2" t="s">
        <v>68</v>
      </c>
      <c r="B794" s="4">
        <v>1</v>
      </c>
      <c r="C794" s="5">
        <v>0.23</v>
      </c>
      <c r="D794" s="4">
        <v>0</v>
      </c>
      <c r="E794" s="5">
        <v>0</v>
      </c>
      <c r="F794" s="4">
        <v>1</v>
      </c>
      <c r="G794" s="5">
        <v>0.55000000000000004</v>
      </c>
      <c r="H794" s="4">
        <v>0</v>
      </c>
    </row>
    <row r="795" spans="1:8" x14ac:dyDescent="0.2">
      <c r="A795" s="2" t="s">
        <v>69</v>
      </c>
      <c r="B795" s="4">
        <v>12</v>
      </c>
      <c r="C795" s="5">
        <v>2.78</v>
      </c>
      <c r="D795" s="4">
        <v>2</v>
      </c>
      <c r="E795" s="5">
        <v>0.81</v>
      </c>
      <c r="F795" s="4">
        <v>10</v>
      </c>
      <c r="G795" s="5">
        <v>5.49</v>
      </c>
      <c r="H795" s="4">
        <v>0</v>
      </c>
    </row>
    <row r="796" spans="1:8" x14ac:dyDescent="0.2">
      <c r="A796" s="2" t="s">
        <v>70</v>
      </c>
      <c r="B796" s="4">
        <v>10</v>
      </c>
      <c r="C796" s="5">
        <v>2.31</v>
      </c>
      <c r="D796" s="4">
        <v>4</v>
      </c>
      <c r="E796" s="5">
        <v>1.63</v>
      </c>
      <c r="F796" s="4">
        <v>6</v>
      </c>
      <c r="G796" s="5">
        <v>3.3</v>
      </c>
      <c r="H796" s="4">
        <v>0</v>
      </c>
    </row>
    <row r="797" spans="1:8" x14ac:dyDescent="0.2">
      <c r="A797" s="2" t="s">
        <v>71</v>
      </c>
      <c r="B797" s="4">
        <v>62</v>
      </c>
      <c r="C797" s="5">
        <v>14.35</v>
      </c>
      <c r="D797" s="4">
        <v>45</v>
      </c>
      <c r="E797" s="5">
        <v>18.29</v>
      </c>
      <c r="F797" s="4">
        <v>16</v>
      </c>
      <c r="G797" s="5">
        <v>8.7899999999999991</v>
      </c>
      <c r="H797" s="4">
        <v>0</v>
      </c>
    </row>
    <row r="798" spans="1:8" x14ac:dyDescent="0.2">
      <c r="A798" s="2" t="s">
        <v>72</v>
      </c>
      <c r="B798" s="4">
        <v>60</v>
      </c>
      <c r="C798" s="5">
        <v>13.89</v>
      </c>
      <c r="D798" s="4">
        <v>52</v>
      </c>
      <c r="E798" s="5">
        <v>21.14</v>
      </c>
      <c r="F798" s="4">
        <v>8</v>
      </c>
      <c r="G798" s="5">
        <v>4.4000000000000004</v>
      </c>
      <c r="H798" s="4">
        <v>0</v>
      </c>
    </row>
    <row r="799" spans="1:8" x14ac:dyDescent="0.2">
      <c r="A799" s="2" t="s">
        <v>73</v>
      </c>
      <c r="B799" s="4">
        <v>5</v>
      </c>
      <c r="C799" s="5">
        <v>1.1599999999999999</v>
      </c>
      <c r="D799" s="4">
        <v>4</v>
      </c>
      <c r="E799" s="5">
        <v>1.63</v>
      </c>
      <c r="F799" s="4">
        <v>0</v>
      </c>
      <c r="G799" s="5">
        <v>0</v>
      </c>
      <c r="H799" s="4">
        <v>0</v>
      </c>
    </row>
    <row r="800" spans="1:8" x14ac:dyDescent="0.2">
      <c r="A800" s="2" t="s">
        <v>74</v>
      </c>
      <c r="B800" s="4">
        <v>17</v>
      </c>
      <c r="C800" s="5">
        <v>3.94</v>
      </c>
      <c r="D800" s="4">
        <v>12</v>
      </c>
      <c r="E800" s="5">
        <v>4.88</v>
      </c>
      <c r="F800" s="4">
        <v>3</v>
      </c>
      <c r="G800" s="5">
        <v>1.65</v>
      </c>
      <c r="H800" s="4">
        <v>0</v>
      </c>
    </row>
    <row r="801" spans="1:8" x14ac:dyDescent="0.2">
      <c r="A801" s="2" t="s">
        <v>75</v>
      </c>
      <c r="B801" s="4">
        <v>22</v>
      </c>
      <c r="C801" s="5">
        <v>5.09</v>
      </c>
      <c r="D801" s="4">
        <v>9</v>
      </c>
      <c r="E801" s="5">
        <v>3.66</v>
      </c>
      <c r="F801" s="4">
        <v>13</v>
      </c>
      <c r="G801" s="5">
        <v>7.14</v>
      </c>
      <c r="H801" s="4">
        <v>0</v>
      </c>
    </row>
    <row r="802" spans="1:8" x14ac:dyDescent="0.2">
      <c r="A802" s="1" t="s">
        <v>50</v>
      </c>
      <c r="B802" s="4">
        <v>206</v>
      </c>
      <c r="C802" s="5">
        <v>100.00999999999999</v>
      </c>
      <c r="D802" s="4">
        <v>66</v>
      </c>
      <c r="E802" s="5">
        <v>100.00999999999999</v>
      </c>
      <c r="F802" s="4">
        <v>138</v>
      </c>
      <c r="G802" s="5">
        <v>100.01000000000002</v>
      </c>
      <c r="H802" s="4">
        <v>0</v>
      </c>
    </row>
    <row r="803" spans="1:8" x14ac:dyDescent="0.2">
      <c r="A803" s="2" t="s">
        <v>61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2">
      <c r="A804" s="2" t="s">
        <v>62</v>
      </c>
      <c r="B804" s="4">
        <v>34</v>
      </c>
      <c r="C804" s="5">
        <v>16.5</v>
      </c>
      <c r="D804" s="4">
        <v>13</v>
      </c>
      <c r="E804" s="5">
        <v>19.7</v>
      </c>
      <c r="F804" s="4">
        <v>21</v>
      </c>
      <c r="G804" s="5">
        <v>15.22</v>
      </c>
      <c r="H804" s="4">
        <v>0</v>
      </c>
    </row>
    <row r="805" spans="1:8" x14ac:dyDescent="0.2">
      <c r="A805" s="2" t="s">
        <v>63</v>
      </c>
      <c r="B805" s="4">
        <v>29</v>
      </c>
      <c r="C805" s="5">
        <v>14.08</v>
      </c>
      <c r="D805" s="4">
        <v>6</v>
      </c>
      <c r="E805" s="5">
        <v>9.09</v>
      </c>
      <c r="F805" s="4">
        <v>23</v>
      </c>
      <c r="G805" s="5">
        <v>16.670000000000002</v>
      </c>
      <c r="H805" s="4">
        <v>0</v>
      </c>
    </row>
    <row r="806" spans="1:8" x14ac:dyDescent="0.2">
      <c r="A806" s="2" t="s">
        <v>64</v>
      </c>
      <c r="B806" s="4">
        <v>2</v>
      </c>
      <c r="C806" s="5">
        <v>0.97</v>
      </c>
      <c r="D806" s="4">
        <v>0</v>
      </c>
      <c r="E806" s="5">
        <v>0</v>
      </c>
      <c r="F806" s="4">
        <v>2</v>
      </c>
      <c r="G806" s="5">
        <v>1.45</v>
      </c>
      <c r="H806" s="4">
        <v>0</v>
      </c>
    </row>
    <row r="807" spans="1:8" x14ac:dyDescent="0.2">
      <c r="A807" s="2" t="s">
        <v>65</v>
      </c>
      <c r="B807" s="4">
        <v>1</v>
      </c>
      <c r="C807" s="5">
        <v>0.49</v>
      </c>
      <c r="D807" s="4">
        <v>0</v>
      </c>
      <c r="E807" s="5">
        <v>0</v>
      </c>
      <c r="F807" s="4">
        <v>1</v>
      </c>
      <c r="G807" s="5">
        <v>0.72</v>
      </c>
      <c r="H807" s="4">
        <v>0</v>
      </c>
    </row>
    <row r="808" spans="1:8" x14ac:dyDescent="0.2">
      <c r="A808" s="2" t="s">
        <v>66</v>
      </c>
      <c r="B808" s="4">
        <v>23</v>
      </c>
      <c r="C808" s="5">
        <v>11.17</v>
      </c>
      <c r="D808" s="4">
        <v>0</v>
      </c>
      <c r="E808" s="5">
        <v>0</v>
      </c>
      <c r="F808" s="4">
        <v>23</v>
      </c>
      <c r="G808" s="5">
        <v>16.670000000000002</v>
      </c>
      <c r="H808" s="4">
        <v>0</v>
      </c>
    </row>
    <row r="809" spans="1:8" x14ac:dyDescent="0.2">
      <c r="A809" s="2" t="s">
        <v>67</v>
      </c>
      <c r="B809" s="4">
        <v>42</v>
      </c>
      <c r="C809" s="5">
        <v>20.39</v>
      </c>
      <c r="D809" s="4">
        <v>10</v>
      </c>
      <c r="E809" s="5">
        <v>15.15</v>
      </c>
      <c r="F809" s="4">
        <v>32</v>
      </c>
      <c r="G809" s="5">
        <v>23.19</v>
      </c>
      <c r="H809" s="4">
        <v>0</v>
      </c>
    </row>
    <row r="810" spans="1:8" x14ac:dyDescent="0.2">
      <c r="A810" s="2" t="s">
        <v>68</v>
      </c>
      <c r="B810" s="4">
        <v>1</v>
      </c>
      <c r="C810" s="5">
        <v>0.49</v>
      </c>
      <c r="D810" s="4">
        <v>0</v>
      </c>
      <c r="E810" s="5">
        <v>0</v>
      </c>
      <c r="F810" s="4">
        <v>1</v>
      </c>
      <c r="G810" s="5">
        <v>0.72</v>
      </c>
      <c r="H810" s="4">
        <v>0</v>
      </c>
    </row>
    <row r="811" spans="1:8" x14ac:dyDescent="0.2">
      <c r="A811" s="2" t="s">
        <v>69</v>
      </c>
      <c r="B811" s="4">
        <v>12</v>
      </c>
      <c r="C811" s="5">
        <v>5.83</v>
      </c>
      <c r="D811" s="4">
        <v>0</v>
      </c>
      <c r="E811" s="5">
        <v>0</v>
      </c>
      <c r="F811" s="4">
        <v>12</v>
      </c>
      <c r="G811" s="5">
        <v>8.6999999999999993</v>
      </c>
      <c r="H811" s="4">
        <v>0</v>
      </c>
    </row>
    <row r="812" spans="1:8" x14ac:dyDescent="0.2">
      <c r="A812" s="2" t="s">
        <v>70</v>
      </c>
      <c r="B812" s="4">
        <v>6</v>
      </c>
      <c r="C812" s="5">
        <v>2.91</v>
      </c>
      <c r="D812" s="4">
        <v>2</v>
      </c>
      <c r="E812" s="5">
        <v>3.03</v>
      </c>
      <c r="F812" s="4">
        <v>4</v>
      </c>
      <c r="G812" s="5">
        <v>2.9</v>
      </c>
      <c r="H812" s="4">
        <v>0</v>
      </c>
    </row>
    <row r="813" spans="1:8" x14ac:dyDescent="0.2">
      <c r="A813" s="2" t="s">
        <v>71</v>
      </c>
      <c r="B813" s="4">
        <v>15</v>
      </c>
      <c r="C813" s="5">
        <v>7.28</v>
      </c>
      <c r="D813" s="4">
        <v>10</v>
      </c>
      <c r="E813" s="5">
        <v>15.15</v>
      </c>
      <c r="F813" s="4">
        <v>4</v>
      </c>
      <c r="G813" s="5">
        <v>2.9</v>
      </c>
      <c r="H813" s="4">
        <v>0</v>
      </c>
    </row>
    <row r="814" spans="1:8" x14ac:dyDescent="0.2">
      <c r="A814" s="2" t="s">
        <v>72</v>
      </c>
      <c r="B814" s="4">
        <v>17</v>
      </c>
      <c r="C814" s="5">
        <v>8.25</v>
      </c>
      <c r="D814" s="4">
        <v>13</v>
      </c>
      <c r="E814" s="5">
        <v>19.7</v>
      </c>
      <c r="F814" s="4">
        <v>4</v>
      </c>
      <c r="G814" s="5">
        <v>2.9</v>
      </c>
      <c r="H814" s="4">
        <v>0</v>
      </c>
    </row>
    <row r="815" spans="1:8" x14ac:dyDescent="0.2">
      <c r="A815" s="2" t="s">
        <v>73</v>
      </c>
      <c r="B815" s="4">
        <v>4</v>
      </c>
      <c r="C815" s="5">
        <v>1.94</v>
      </c>
      <c r="D815" s="4">
        <v>3</v>
      </c>
      <c r="E815" s="5">
        <v>4.55</v>
      </c>
      <c r="F815" s="4">
        <v>0</v>
      </c>
      <c r="G815" s="5">
        <v>0</v>
      </c>
      <c r="H815" s="4">
        <v>0</v>
      </c>
    </row>
    <row r="816" spans="1:8" x14ac:dyDescent="0.2">
      <c r="A816" s="2" t="s">
        <v>74</v>
      </c>
      <c r="B816" s="4">
        <v>4</v>
      </c>
      <c r="C816" s="5">
        <v>1.94</v>
      </c>
      <c r="D816" s="4">
        <v>3</v>
      </c>
      <c r="E816" s="5">
        <v>4.55</v>
      </c>
      <c r="F816" s="4">
        <v>1</v>
      </c>
      <c r="G816" s="5">
        <v>0.72</v>
      </c>
      <c r="H816" s="4">
        <v>0</v>
      </c>
    </row>
    <row r="817" spans="1:8" x14ac:dyDescent="0.2">
      <c r="A817" s="2" t="s">
        <v>75</v>
      </c>
      <c r="B817" s="4">
        <v>16</v>
      </c>
      <c r="C817" s="5">
        <v>7.77</v>
      </c>
      <c r="D817" s="4">
        <v>6</v>
      </c>
      <c r="E817" s="5">
        <v>9.09</v>
      </c>
      <c r="F817" s="4">
        <v>10</v>
      </c>
      <c r="G817" s="5">
        <v>7.25</v>
      </c>
      <c r="H817" s="4">
        <v>0</v>
      </c>
    </row>
    <row r="818" spans="1:8" x14ac:dyDescent="0.2">
      <c r="A818" s="1" t="s">
        <v>51</v>
      </c>
      <c r="B818" s="4">
        <v>529</v>
      </c>
      <c r="C818" s="5">
        <v>100.00999999999999</v>
      </c>
      <c r="D818" s="4">
        <v>306</v>
      </c>
      <c r="E818" s="5">
        <v>100.00999999999999</v>
      </c>
      <c r="F818" s="4">
        <v>219</v>
      </c>
      <c r="G818" s="5">
        <v>99.989999999999981</v>
      </c>
      <c r="H818" s="4">
        <v>1</v>
      </c>
    </row>
    <row r="819" spans="1:8" x14ac:dyDescent="0.2">
      <c r="A819" s="2" t="s">
        <v>61</v>
      </c>
      <c r="B819" s="4">
        <v>1</v>
      </c>
      <c r="C819" s="5">
        <v>0.19</v>
      </c>
      <c r="D819" s="4">
        <v>0</v>
      </c>
      <c r="E819" s="5">
        <v>0</v>
      </c>
      <c r="F819" s="4">
        <v>1</v>
      </c>
      <c r="G819" s="5">
        <v>0.46</v>
      </c>
      <c r="H819" s="4">
        <v>0</v>
      </c>
    </row>
    <row r="820" spans="1:8" x14ac:dyDescent="0.2">
      <c r="A820" s="2" t="s">
        <v>62</v>
      </c>
      <c r="B820" s="4">
        <v>131</v>
      </c>
      <c r="C820" s="5">
        <v>24.76</v>
      </c>
      <c r="D820" s="4">
        <v>64</v>
      </c>
      <c r="E820" s="5">
        <v>20.92</v>
      </c>
      <c r="F820" s="4">
        <v>67</v>
      </c>
      <c r="G820" s="5">
        <v>30.59</v>
      </c>
      <c r="H820" s="4">
        <v>0</v>
      </c>
    </row>
    <row r="821" spans="1:8" x14ac:dyDescent="0.2">
      <c r="A821" s="2" t="s">
        <v>63</v>
      </c>
      <c r="B821" s="4">
        <v>42</v>
      </c>
      <c r="C821" s="5">
        <v>7.94</v>
      </c>
      <c r="D821" s="4">
        <v>19</v>
      </c>
      <c r="E821" s="5">
        <v>6.21</v>
      </c>
      <c r="F821" s="4">
        <v>23</v>
      </c>
      <c r="G821" s="5">
        <v>10.5</v>
      </c>
      <c r="H821" s="4">
        <v>0</v>
      </c>
    </row>
    <row r="822" spans="1:8" x14ac:dyDescent="0.2">
      <c r="A822" s="2" t="s">
        <v>64</v>
      </c>
      <c r="B822" s="4">
        <v>2</v>
      </c>
      <c r="C822" s="5">
        <v>0.38</v>
      </c>
      <c r="D822" s="4">
        <v>0</v>
      </c>
      <c r="E822" s="5">
        <v>0</v>
      </c>
      <c r="F822" s="4">
        <v>2</v>
      </c>
      <c r="G822" s="5">
        <v>0.91</v>
      </c>
      <c r="H822" s="4">
        <v>0</v>
      </c>
    </row>
    <row r="823" spans="1:8" x14ac:dyDescent="0.2">
      <c r="A823" s="2" t="s">
        <v>65</v>
      </c>
      <c r="B823" s="4">
        <v>1</v>
      </c>
      <c r="C823" s="5">
        <v>0.19</v>
      </c>
      <c r="D823" s="4">
        <v>0</v>
      </c>
      <c r="E823" s="5">
        <v>0</v>
      </c>
      <c r="F823" s="4">
        <v>1</v>
      </c>
      <c r="G823" s="5">
        <v>0.46</v>
      </c>
      <c r="H823" s="4">
        <v>0</v>
      </c>
    </row>
    <row r="824" spans="1:8" x14ac:dyDescent="0.2">
      <c r="A824" s="2" t="s">
        <v>66</v>
      </c>
      <c r="B824" s="4">
        <v>11</v>
      </c>
      <c r="C824" s="5">
        <v>2.08</v>
      </c>
      <c r="D824" s="4">
        <v>2</v>
      </c>
      <c r="E824" s="5">
        <v>0.65</v>
      </c>
      <c r="F824" s="4">
        <v>9</v>
      </c>
      <c r="G824" s="5">
        <v>4.1100000000000003</v>
      </c>
      <c r="H824" s="4">
        <v>0</v>
      </c>
    </row>
    <row r="825" spans="1:8" x14ac:dyDescent="0.2">
      <c r="A825" s="2" t="s">
        <v>67</v>
      </c>
      <c r="B825" s="4">
        <v>119</v>
      </c>
      <c r="C825" s="5">
        <v>22.5</v>
      </c>
      <c r="D825" s="4">
        <v>53</v>
      </c>
      <c r="E825" s="5">
        <v>17.32</v>
      </c>
      <c r="F825" s="4">
        <v>66</v>
      </c>
      <c r="G825" s="5">
        <v>30.14</v>
      </c>
      <c r="H825" s="4">
        <v>0</v>
      </c>
    </row>
    <row r="826" spans="1:8" x14ac:dyDescent="0.2">
      <c r="A826" s="2" t="s">
        <v>68</v>
      </c>
      <c r="B826" s="4">
        <v>7</v>
      </c>
      <c r="C826" s="5">
        <v>1.32</v>
      </c>
      <c r="D826" s="4">
        <v>3</v>
      </c>
      <c r="E826" s="5">
        <v>0.98</v>
      </c>
      <c r="F826" s="4">
        <v>4</v>
      </c>
      <c r="G826" s="5">
        <v>1.83</v>
      </c>
      <c r="H826" s="4">
        <v>0</v>
      </c>
    </row>
    <row r="827" spans="1:8" x14ac:dyDescent="0.2">
      <c r="A827" s="2" t="s">
        <v>69</v>
      </c>
      <c r="B827" s="4">
        <v>31</v>
      </c>
      <c r="C827" s="5">
        <v>5.86</v>
      </c>
      <c r="D827" s="4">
        <v>14</v>
      </c>
      <c r="E827" s="5">
        <v>4.58</v>
      </c>
      <c r="F827" s="4">
        <v>17</v>
      </c>
      <c r="G827" s="5">
        <v>7.76</v>
      </c>
      <c r="H827" s="4">
        <v>0</v>
      </c>
    </row>
    <row r="828" spans="1:8" x14ac:dyDescent="0.2">
      <c r="A828" s="2" t="s">
        <v>70</v>
      </c>
      <c r="B828" s="4">
        <v>14</v>
      </c>
      <c r="C828" s="5">
        <v>2.65</v>
      </c>
      <c r="D828" s="4">
        <v>12</v>
      </c>
      <c r="E828" s="5">
        <v>3.92</v>
      </c>
      <c r="F828" s="4">
        <v>2</v>
      </c>
      <c r="G828" s="5">
        <v>0.91</v>
      </c>
      <c r="H828" s="4">
        <v>0</v>
      </c>
    </row>
    <row r="829" spans="1:8" x14ac:dyDescent="0.2">
      <c r="A829" s="2" t="s">
        <v>71</v>
      </c>
      <c r="B829" s="4">
        <v>55</v>
      </c>
      <c r="C829" s="5">
        <v>10.4</v>
      </c>
      <c r="D829" s="4">
        <v>45</v>
      </c>
      <c r="E829" s="5">
        <v>14.71</v>
      </c>
      <c r="F829" s="4">
        <v>8</v>
      </c>
      <c r="G829" s="5">
        <v>3.65</v>
      </c>
      <c r="H829" s="4">
        <v>1</v>
      </c>
    </row>
    <row r="830" spans="1:8" x14ac:dyDescent="0.2">
      <c r="A830" s="2" t="s">
        <v>72</v>
      </c>
      <c r="B830" s="4">
        <v>69</v>
      </c>
      <c r="C830" s="5">
        <v>13.04</v>
      </c>
      <c r="D830" s="4">
        <v>63</v>
      </c>
      <c r="E830" s="5">
        <v>20.59</v>
      </c>
      <c r="F830" s="4">
        <v>6</v>
      </c>
      <c r="G830" s="5">
        <v>2.74</v>
      </c>
      <c r="H830" s="4">
        <v>0</v>
      </c>
    </row>
    <row r="831" spans="1:8" x14ac:dyDescent="0.2">
      <c r="A831" s="2" t="s">
        <v>73</v>
      </c>
      <c r="B831" s="4">
        <v>10</v>
      </c>
      <c r="C831" s="5">
        <v>1.89</v>
      </c>
      <c r="D831" s="4">
        <v>8</v>
      </c>
      <c r="E831" s="5">
        <v>2.61</v>
      </c>
      <c r="F831" s="4">
        <v>2</v>
      </c>
      <c r="G831" s="5">
        <v>0.91</v>
      </c>
      <c r="H831" s="4">
        <v>0</v>
      </c>
    </row>
    <row r="832" spans="1:8" x14ac:dyDescent="0.2">
      <c r="A832" s="2" t="s">
        <v>74</v>
      </c>
      <c r="B832" s="4">
        <v>13</v>
      </c>
      <c r="C832" s="5">
        <v>2.46</v>
      </c>
      <c r="D832" s="4">
        <v>10</v>
      </c>
      <c r="E832" s="5">
        <v>3.27</v>
      </c>
      <c r="F832" s="4">
        <v>2</v>
      </c>
      <c r="G832" s="5">
        <v>0.91</v>
      </c>
      <c r="H832" s="4">
        <v>0</v>
      </c>
    </row>
    <row r="833" spans="1:8" x14ac:dyDescent="0.2">
      <c r="A833" s="2" t="s">
        <v>75</v>
      </c>
      <c r="B833" s="4">
        <v>23</v>
      </c>
      <c r="C833" s="5">
        <v>4.3499999999999996</v>
      </c>
      <c r="D833" s="4">
        <v>13</v>
      </c>
      <c r="E833" s="5">
        <v>4.25</v>
      </c>
      <c r="F833" s="4">
        <v>9</v>
      </c>
      <c r="G833" s="5">
        <v>4.1100000000000003</v>
      </c>
      <c r="H833" s="4">
        <v>0</v>
      </c>
    </row>
    <row r="834" spans="1:8" x14ac:dyDescent="0.2">
      <c r="A834" s="1" t="s">
        <v>52</v>
      </c>
      <c r="B834" s="4">
        <v>344</v>
      </c>
      <c r="C834" s="5">
        <v>100</v>
      </c>
      <c r="D834" s="4">
        <v>212</v>
      </c>
      <c r="E834" s="5">
        <v>100.01</v>
      </c>
      <c r="F834" s="4">
        <v>130</v>
      </c>
      <c r="G834" s="5">
        <v>100.00000000000001</v>
      </c>
      <c r="H834" s="4">
        <v>0</v>
      </c>
    </row>
    <row r="835" spans="1:8" x14ac:dyDescent="0.2">
      <c r="A835" s="2" t="s">
        <v>61</v>
      </c>
      <c r="B835" s="4">
        <v>0</v>
      </c>
      <c r="C835" s="5">
        <v>0</v>
      </c>
      <c r="D835" s="4">
        <v>0</v>
      </c>
      <c r="E835" s="5">
        <v>0</v>
      </c>
      <c r="F835" s="4">
        <v>0</v>
      </c>
      <c r="G835" s="5">
        <v>0</v>
      </c>
      <c r="H835" s="4">
        <v>0</v>
      </c>
    </row>
    <row r="836" spans="1:8" x14ac:dyDescent="0.2">
      <c r="A836" s="2" t="s">
        <v>62</v>
      </c>
      <c r="B836" s="4">
        <v>42</v>
      </c>
      <c r="C836" s="5">
        <v>12.21</v>
      </c>
      <c r="D836" s="4">
        <v>12</v>
      </c>
      <c r="E836" s="5">
        <v>5.66</v>
      </c>
      <c r="F836" s="4">
        <v>30</v>
      </c>
      <c r="G836" s="5">
        <v>23.08</v>
      </c>
      <c r="H836" s="4">
        <v>0</v>
      </c>
    </row>
    <row r="837" spans="1:8" x14ac:dyDescent="0.2">
      <c r="A837" s="2" t="s">
        <v>63</v>
      </c>
      <c r="B837" s="4">
        <v>11</v>
      </c>
      <c r="C837" s="5">
        <v>3.2</v>
      </c>
      <c r="D837" s="4">
        <v>4</v>
      </c>
      <c r="E837" s="5">
        <v>1.89</v>
      </c>
      <c r="F837" s="4">
        <v>7</v>
      </c>
      <c r="G837" s="5">
        <v>5.38</v>
      </c>
      <c r="H837" s="4">
        <v>0</v>
      </c>
    </row>
    <row r="838" spans="1:8" x14ac:dyDescent="0.2">
      <c r="A838" s="2" t="s">
        <v>64</v>
      </c>
      <c r="B838" s="4">
        <v>0</v>
      </c>
      <c r="C838" s="5">
        <v>0</v>
      </c>
      <c r="D838" s="4">
        <v>0</v>
      </c>
      <c r="E838" s="5">
        <v>0</v>
      </c>
      <c r="F838" s="4">
        <v>0</v>
      </c>
      <c r="G838" s="5">
        <v>0</v>
      </c>
      <c r="H838" s="4">
        <v>0</v>
      </c>
    </row>
    <row r="839" spans="1:8" x14ac:dyDescent="0.2">
      <c r="A839" s="2" t="s">
        <v>65</v>
      </c>
      <c r="B839" s="4">
        <v>3</v>
      </c>
      <c r="C839" s="5">
        <v>0.87</v>
      </c>
      <c r="D839" s="4">
        <v>0</v>
      </c>
      <c r="E839" s="5">
        <v>0</v>
      </c>
      <c r="F839" s="4">
        <v>3</v>
      </c>
      <c r="G839" s="5">
        <v>2.31</v>
      </c>
      <c r="H839" s="4">
        <v>0</v>
      </c>
    </row>
    <row r="840" spans="1:8" x14ac:dyDescent="0.2">
      <c r="A840" s="2" t="s">
        <v>66</v>
      </c>
      <c r="B840" s="4">
        <v>3</v>
      </c>
      <c r="C840" s="5">
        <v>0.87</v>
      </c>
      <c r="D840" s="4">
        <v>1</v>
      </c>
      <c r="E840" s="5">
        <v>0.47</v>
      </c>
      <c r="F840" s="4">
        <v>2</v>
      </c>
      <c r="G840" s="5">
        <v>1.54</v>
      </c>
      <c r="H840" s="4">
        <v>0</v>
      </c>
    </row>
    <row r="841" spans="1:8" x14ac:dyDescent="0.2">
      <c r="A841" s="2" t="s">
        <v>67</v>
      </c>
      <c r="B841" s="4">
        <v>89</v>
      </c>
      <c r="C841" s="5">
        <v>25.87</v>
      </c>
      <c r="D841" s="4">
        <v>49</v>
      </c>
      <c r="E841" s="5">
        <v>23.11</v>
      </c>
      <c r="F841" s="4">
        <v>40</v>
      </c>
      <c r="G841" s="5">
        <v>30.77</v>
      </c>
      <c r="H841" s="4">
        <v>0</v>
      </c>
    </row>
    <row r="842" spans="1:8" x14ac:dyDescent="0.2">
      <c r="A842" s="2" t="s">
        <v>68</v>
      </c>
      <c r="B842" s="4">
        <v>1</v>
      </c>
      <c r="C842" s="5">
        <v>0.28999999999999998</v>
      </c>
      <c r="D842" s="4">
        <v>0</v>
      </c>
      <c r="E842" s="5">
        <v>0</v>
      </c>
      <c r="F842" s="4">
        <v>1</v>
      </c>
      <c r="G842" s="5">
        <v>0.77</v>
      </c>
      <c r="H842" s="4">
        <v>0</v>
      </c>
    </row>
    <row r="843" spans="1:8" x14ac:dyDescent="0.2">
      <c r="A843" s="2" t="s">
        <v>69</v>
      </c>
      <c r="B843" s="4">
        <v>16</v>
      </c>
      <c r="C843" s="5">
        <v>4.6500000000000004</v>
      </c>
      <c r="D843" s="4">
        <v>5</v>
      </c>
      <c r="E843" s="5">
        <v>2.36</v>
      </c>
      <c r="F843" s="4">
        <v>11</v>
      </c>
      <c r="G843" s="5">
        <v>8.4600000000000009</v>
      </c>
      <c r="H843" s="4">
        <v>0</v>
      </c>
    </row>
    <row r="844" spans="1:8" x14ac:dyDescent="0.2">
      <c r="A844" s="2" t="s">
        <v>70</v>
      </c>
      <c r="B844" s="4">
        <v>14</v>
      </c>
      <c r="C844" s="5">
        <v>4.07</v>
      </c>
      <c r="D844" s="4">
        <v>11</v>
      </c>
      <c r="E844" s="5">
        <v>5.19</v>
      </c>
      <c r="F844" s="4">
        <v>3</v>
      </c>
      <c r="G844" s="5">
        <v>2.31</v>
      </c>
      <c r="H844" s="4">
        <v>0</v>
      </c>
    </row>
    <row r="845" spans="1:8" x14ac:dyDescent="0.2">
      <c r="A845" s="2" t="s">
        <v>71</v>
      </c>
      <c r="B845" s="4">
        <v>59</v>
      </c>
      <c r="C845" s="5">
        <v>17.149999999999999</v>
      </c>
      <c r="D845" s="4">
        <v>52</v>
      </c>
      <c r="E845" s="5">
        <v>24.53</v>
      </c>
      <c r="F845" s="4">
        <v>7</v>
      </c>
      <c r="G845" s="5">
        <v>5.38</v>
      </c>
      <c r="H845" s="4">
        <v>0</v>
      </c>
    </row>
    <row r="846" spans="1:8" x14ac:dyDescent="0.2">
      <c r="A846" s="2" t="s">
        <v>72</v>
      </c>
      <c r="B846" s="4">
        <v>57</v>
      </c>
      <c r="C846" s="5">
        <v>16.57</v>
      </c>
      <c r="D846" s="4">
        <v>52</v>
      </c>
      <c r="E846" s="5">
        <v>24.53</v>
      </c>
      <c r="F846" s="4">
        <v>4</v>
      </c>
      <c r="G846" s="5">
        <v>3.08</v>
      </c>
      <c r="H846" s="4">
        <v>0</v>
      </c>
    </row>
    <row r="847" spans="1:8" x14ac:dyDescent="0.2">
      <c r="A847" s="2" t="s">
        <v>73</v>
      </c>
      <c r="B847" s="4">
        <v>9</v>
      </c>
      <c r="C847" s="5">
        <v>2.62</v>
      </c>
      <c r="D847" s="4">
        <v>6</v>
      </c>
      <c r="E847" s="5">
        <v>2.83</v>
      </c>
      <c r="F847" s="4">
        <v>2</v>
      </c>
      <c r="G847" s="5">
        <v>1.54</v>
      </c>
      <c r="H847" s="4">
        <v>0</v>
      </c>
    </row>
    <row r="848" spans="1:8" x14ac:dyDescent="0.2">
      <c r="A848" s="2" t="s">
        <v>74</v>
      </c>
      <c r="B848" s="4">
        <v>23</v>
      </c>
      <c r="C848" s="5">
        <v>6.69</v>
      </c>
      <c r="D848" s="4">
        <v>11</v>
      </c>
      <c r="E848" s="5">
        <v>5.19</v>
      </c>
      <c r="F848" s="4">
        <v>12</v>
      </c>
      <c r="G848" s="5">
        <v>9.23</v>
      </c>
      <c r="H848" s="4">
        <v>0</v>
      </c>
    </row>
    <row r="849" spans="1:8" x14ac:dyDescent="0.2">
      <c r="A849" s="2" t="s">
        <v>75</v>
      </c>
      <c r="B849" s="4">
        <v>17</v>
      </c>
      <c r="C849" s="5">
        <v>4.9400000000000004</v>
      </c>
      <c r="D849" s="4">
        <v>9</v>
      </c>
      <c r="E849" s="5">
        <v>4.25</v>
      </c>
      <c r="F849" s="4">
        <v>8</v>
      </c>
      <c r="G849" s="5">
        <v>6.15</v>
      </c>
      <c r="H849" s="4">
        <v>0</v>
      </c>
    </row>
    <row r="850" spans="1:8" x14ac:dyDescent="0.2">
      <c r="A850" s="1" t="s">
        <v>53</v>
      </c>
      <c r="B850" s="4">
        <v>132</v>
      </c>
      <c r="C850" s="5">
        <v>100.02000000000001</v>
      </c>
      <c r="D850" s="4">
        <v>78</v>
      </c>
      <c r="E850" s="5">
        <v>99.97999999999999</v>
      </c>
      <c r="F850" s="4">
        <v>51</v>
      </c>
      <c r="G850" s="5">
        <v>99.989999999999966</v>
      </c>
      <c r="H850" s="4">
        <v>1</v>
      </c>
    </row>
    <row r="851" spans="1:8" x14ac:dyDescent="0.2">
      <c r="A851" s="2" t="s">
        <v>61</v>
      </c>
      <c r="B851" s="4">
        <v>0</v>
      </c>
      <c r="C851" s="5">
        <v>0</v>
      </c>
      <c r="D851" s="4">
        <v>0</v>
      </c>
      <c r="E851" s="5">
        <v>0</v>
      </c>
      <c r="F851" s="4">
        <v>0</v>
      </c>
      <c r="G851" s="5">
        <v>0</v>
      </c>
      <c r="H851" s="4">
        <v>0</v>
      </c>
    </row>
    <row r="852" spans="1:8" x14ac:dyDescent="0.2">
      <c r="A852" s="2" t="s">
        <v>62</v>
      </c>
      <c r="B852" s="4">
        <v>38</v>
      </c>
      <c r="C852" s="5">
        <v>28.79</v>
      </c>
      <c r="D852" s="4">
        <v>17</v>
      </c>
      <c r="E852" s="5">
        <v>21.79</v>
      </c>
      <c r="F852" s="4">
        <v>21</v>
      </c>
      <c r="G852" s="5">
        <v>41.18</v>
      </c>
      <c r="H852" s="4">
        <v>0</v>
      </c>
    </row>
    <row r="853" spans="1:8" x14ac:dyDescent="0.2">
      <c r="A853" s="2" t="s">
        <v>63</v>
      </c>
      <c r="B853" s="4">
        <v>12</v>
      </c>
      <c r="C853" s="5">
        <v>9.09</v>
      </c>
      <c r="D853" s="4">
        <v>6</v>
      </c>
      <c r="E853" s="5">
        <v>7.69</v>
      </c>
      <c r="F853" s="4">
        <v>6</v>
      </c>
      <c r="G853" s="5">
        <v>11.76</v>
      </c>
      <c r="H853" s="4">
        <v>0</v>
      </c>
    </row>
    <row r="854" spans="1:8" x14ac:dyDescent="0.2">
      <c r="A854" s="2" t="s">
        <v>64</v>
      </c>
      <c r="B854" s="4">
        <v>1</v>
      </c>
      <c r="C854" s="5">
        <v>0.76</v>
      </c>
      <c r="D854" s="4">
        <v>0</v>
      </c>
      <c r="E854" s="5">
        <v>0</v>
      </c>
      <c r="F854" s="4">
        <v>0</v>
      </c>
      <c r="G854" s="5">
        <v>0</v>
      </c>
      <c r="H854" s="4">
        <v>0</v>
      </c>
    </row>
    <row r="855" spans="1:8" x14ac:dyDescent="0.2">
      <c r="A855" s="2" t="s">
        <v>65</v>
      </c>
      <c r="B855" s="4">
        <v>0</v>
      </c>
      <c r="C855" s="5">
        <v>0</v>
      </c>
      <c r="D855" s="4">
        <v>0</v>
      </c>
      <c r="E855" s="5">
        <v>0</v>
      </c>
      <c r="F855" s="4">
        <v>0</v>
      </c>
      <c r="G855" s="5">
        <v>0</v>
      </c>
      <c r="H855" s="4">
        <v>0</v>
      </c>
    </row>
    <row r="856" spans="1:8" x14ac:dyDescent="0.2">
      <c r="A856" s="2" t="s">
        <v>66</v>
      </c>
      <c r="B856" s="4">
        <v>2</v>
      </c>
      <c r="C856" s="5">
        <v>1.52</v>
      </c>
      <c r="D856" s="4">
        <v>0</v>
      </c>
      <c r="E856" s="5">
        <v>0</v>
      </c>
      <c r="F856" s="4">
        <v>1</v>
      </c>
      <c r="G856" s="5">
        <v>1.96</v>
      </c>
      <c r="H856" s="4">
        <v>1</v>
      </c>
    </row>
    <row r="857" spans="1:8" x14ac:dyDescent="0.2">
      <c r="A857" s="2" t="s">
        <v>67</v>
      </c>
      <c r="B857" s="4">
        <v>30</v>
      </c>
      <c r="C857" s="5">
        <v>22.73</v>
      </c>
      <c r="D857" s="4">
        <v>20</v>
      </c>
      <c r="E857" s="5">
        <v>25.64</v>
      </c>
      <c r="F857" s="4">
        <v>10</v>
      </c>
      <c r="G857" s="5">
        <v>19.61</v>
      </c>
      <c r="H857" s="4">
        <v>0</v>
      </c>
    </row>
    <row r="858" spans="1:8" x14ac:dyDescent="0.2">
      <c r="A858" s="2" t="s">
        <v>68</v>
      </c>
      <c r="B858" s="4">
        <v>1</v>
      </c>
      <c r="C858" s="5">
        <v>0.76</v>
      </c>
      <c r="D858" s="4">
        <v>0</v>
      </c>
      <c r="E858" s="5">
        <v>0</v>
      </c>
      <c r="F858" s="4">
        <v>1</v>
      </c>
      <c r="G858" s="5">
        <v>1.96</v>
      </c>
      <c r="H858" s="4">
        <v>0</v>
      </c>
    </row>
    <row r="859" spans="1:8" x14ac:dyDescent="0.2">
      <c r="A859" s="2" t="s">
        <v>69</v>
      </c>
      <c r="B859" s="4">
        <v>2</v>
      </c>
      <c r="C859" s="5">
        <v>1.52</v>
      </c>
      <c r="D859" s="4">
        <v>0</v>
      </c>
      <c r="E859" s="5">
        <v>0</v>
      </c>
      <c r="F859" s="4">
        <v>2</v>
      </c>
      <c r="G859" s="5">
        <v>3.92</v>
      </c>
      <c r="H859" s="4">
        <v>0</v>
      </c>
    </row>
    <row r="860" spans="1:8" x14ac:dyDescent="0.2">
      <c r="A860" s="2" t="s">
        <v>70</v>
      </c>
      <c r="B860" s="4">
        <v>3</v>
      </c>
      <c r="C860" s="5">
        <v>2.27</v>
      </c>
      <c r="D860" s="4">
        <v>0</v>
      </c>
      <c r="E860" s="5">
        <v>0</v>
      </c>
      <c r="F860" s="4">
        <v>3</v>
      </c>
      <c r="G860" s="5">
        <v>5.88</v>
      </c>
      <c r="H860" s="4">
        <v>0</v>
      </c>
    </row>
    <row r="861" spans="1:8" x14ac:dyDescent="0.2">
      <c r="A861" s="2" t="s">
        <v>71</v>
      </c>
      <c r="B861" s="4">
        <v>11</v>
      </c>
      <c r="C861" s="5">
        <v>8.33</v>
      </c>
      <c r="D861" s="4">
        <v>11</v>
      </c>
      <c r="E861" s="5">
        <v>14.1</v>
      </c>
      <c r="F861" s="4">
        <v>0</v>
      </c>
      <c r="G861" s="5">
        <v>0</v>
      </c>
      <c r="H861" s="4">
        <v>0</v>
      </c>
    </row>
    <row r="862" spans="1:8" x14ac:dyDescent="0.2">
      <c r="A862" s="2" t="s">
        <v>72</v>
      </c>
      <c r="B862" s="4">
        <v>20</v>
      </c>
      <c r="C862" s="5">
        <v>15.15</v>
      </c>
      <c r="D862" s="4">
        <v>17</v>
      </c>
      <c r="E862" s="5">
        <v>21.79</v>
      </c>
      <c r="F862" s="4">
        <v>3</v>
      </c>
      <c r="G862" s="5">
        <v>5.88</v>
      </c>
      <c r="H862" s="4">
        <v>0</v>
      </c>
    </row>
    <row r="863" spans="1:8" x14ac:dyDescent="0.2">
      <c r="A863" s="2" t="s">
        <v>73</v>
      </c>
      <c r="B863" s="4">
        <v>5</v>
      </c>
      <c r="C863" s="5">
        <v>3.79</v>
      </c>
      <c r="D863" s="4">
        <v>2</v>
      </c>
      <c r="E863" s="5">
        <v>2.56</v>
      </c>
      <c r="F863" s="4">
        <v>2</v>
      </c>
      <c r="G863" s="5">
        <v>3.92</v>
      </c>
      <c r="H863" s="4">
        <v>0</v>
      </c>
    </row>
    <row r="864" spans="1:8" x14ac:dyDescent="0.2">
      <c r="A864" s="2" t="s">
        <v>74</v>
      </c>
      <c r="B864" s="4">
        <v>1</v>
      </c>
      <c r="C864" s="5">
        <v>0.76</v>
      </c>
      <c r="D864" s="4">
        <v>0</v>
      </c>
      <c r="E864" s="5">
        <v>0</v>
      </c>
      <c r="F864" s="4">
        <v>1</v>
      </c>
      <c r="G864" s="5">
        <v>1.96</v>
      </c>
      <c r="H864" s="4">
        <v>0</v>
      </c>
    </row>
    <row r="865" spans="1:8" x14ac:dyDescent="0.2">
      <c r="A865" s="2" t="s">
        <v>75</v>
      </c>
      <c r="B865" s="4">
        <v>6</v>
      </c>
      <c r="C865" s="5">
        <v>4.55</v>
      </c>
      <c r="D865" s="4">
        <v>5</v>
      </c>
      <c r="E865" s="5">
        <v>6.41</v>
      </c>
      <c r="F865" s="4">
        <v>1</v>
      </c>
      <c r="G865" s="5">
        <v>1.96</v>
      </c>
      <c r="H865" s="4">
        <v>0</v>
      </c>
    </row>
    <row r="866" spans="1:8" x14ac:dyDescent="0.2">
      <c r="A866" s="1" t="s">
        <v>54</v>
      </c>
      <c r="B866" s="4">
        <v>234</v>
      </c>
      <c r="C866" s="5">
        <v>99.999999999999986</v>
      </c>
      <c r="D866" s="4">
        <v>131</v>
      </c>
      <c r="E866" s="5">
        <v>99.990000000000009</v>
      </c>
      <c r="F866" s="4">
        <v>102</v>
      </c>
      <c r="G866" s="5">
        <v>99.99</v>
      </c>
      <c r="H866" s="4">
        <v>1</v>
      </c>
    </row>
    <row r="867" spans="1:8" x14ac:dyDescent="0.2">
      <c r="A867" s="2" t="s">
        <v>61</v>
      </c>
      <c r="B867" s="4">
        <v>0</v>
      </c>
      <c r="C867" s="5">
        <v>0</v>
      </c>
      <c r="D867" s="4">
        <v>0</v>
      </c>
      <c r="E867" s="5">
        <v>0</v>
      </c>
      <c r="F867" s="4">
        <v>0</v>
      </c>
      <c r="G867" s="5">
        <v>0</v>
      </c>
      <c r="H867" s="4">
        <v>0</v>
      </c>
    </row>
    <row r="868" spans="1:8" x14ac:dyDescent="0.2">
      <c r="A868" s="2" t="s">
        <v>62</v>
      </c>
      <c r="B868" s="4">
        <v>60</v>
      </c>
      <c r="C868" s="5">
        <v>25.64</v>
      </c>
      <c r="D868" s="4">
        <v>21</v>
      </c>
      <c r="E868" s="5">
        <v>16.03</v>
      </c>
      <c r="F868" s="4">
        <v>39</v>
      </c>
      <c r="G868" s="5">
        <v>38.24</v>
      </c>
      <c r="H868" s="4">
        <v>0</v>
      </c>
    </row>
    <row r="869" spans="1:8" x14ac:dyDescent="0.2">
      <c r="A869" s="2" t="s">
        <v>63</v>
      </c>
      <c r="B869" s="4">
        <v>13</v>
      </c>
      <c r="C869" s="5">
        <v>5.56</v>
      </c>
      <c r="D869" s="4">
        <v>2</v>
      </c>
      <c r="E869" s="5">
        <v>1.53</v>
      </c>
      <c r="F869" s="4">
        <v>11</v>
      </c>
      <c r="G869" s="5">
        <v>10.78</v>
      </c>
      <c r="H869" s="4">
        <v>0</v>
      </c>
    </row>
    <row r="870" spans="1:8" x14ac:dyDescent="0.2">
      <c r="A870" s="2" t="s">
        <v>64</v>
      </c>
      <c r="B870" s="4">
        <v>2</v>
      </c>
      <c r="C870" s="5">
        <v>0.85</v>
      </c>
      <c r="D870" s="4">
        <v>0</v>
      </c>
      <c r="E870" s="5">
        <v>0</v>
      </c>
      <c r="F870" s="4">
        <v>2</v>
      </c>
      <c r="G870" s="5">
        <v>1.96</v>
      </c>
      <c r="H870" s="4">
        <v>0</v>
      </c>
    </row>
    <row r="871" spans="1:8" x14ac:dyDescent="0.2">
      <c r="A871" s="2" t="s">
        <v>65</v>
      </c>
      <c r="B871" s="4">
        <v>0</v>
      </c>
      <c r="C871" s="5">
        <v>0</v>
      </c>
      <c r="D871" s="4">
        <v>0</v>
      </c>
      <c r="E871" s="5">
        <v>0</v>
      </c>
      <c r="F871" s="4">
        <v>0</v>
      </c>
      <c r="G871" s="5">
        <v>0</v>
      </c>
      <c r="H871" s="4">
        <v>0</v>
      </c>
    </row>
    <row r="872" spans="1:8" x14ac:dyDescent="0.2">
      <c r="A872" s="2" t="s">
        <v>66</v>
      </c>
      <c r="B872" s="4">
        <v>2</v>
      </c>
      <c r="C872" s="5">
        <v>0.85</v>
      </c>
      <c r="D872" s="4">
        <v>1</v>
      </c>
      <c r="E872" s="5">
        <v>0.76</v>
      </c>
      <c r="F872" s="4">
        <v>1</v>
      </c>
      <c r="G872" s="5">
        <v>0.98</v>
      </c>
      <c r="H872" s="4">
        <v>0</v>
      </c>
    </row>
    <row r="873" spans="1:8" x14ac:dyDescent="0.2">
      <c r="A873" s="2" t="s">
        <v>67</v>
      </c>
      <c r="B873" s="4">
        <v>39</v>
      </c>
      <c r="C873" s="5">
        <v>16.670000000000002</v>
      </c>
      <c r="D873" s="4">
        <v>22</v>
      </c>
      <c r="E873" s="5">
        <v>16.79</v>
      </c>
      <c r="F873" s="4">
        <v>16</v>
      </c>
      <c r="G873" s="5">
        <v>15.69</v>
      </c>
      <c r="H873" s="4">
        <v>1</v>
      </c>
    </row>
    <row r="874" spans="1:8" x14ac:dyDescent="0.2">
      <c r="A874" s="2" t="s">
        <v>68</v>
      </c>
      <c r="B874" s="4">
        <v>0</v>
      </c>
      <c r="C874" s="5">
        <v>0</v>
      </c>
      <c r="D874" s="4">
        <v>0</v>
      </c>
      <c r="E874" s="5">
        <v>0</v>
      </c>
      <c r="F874" s="4">
        <v>0</v>
      </c>
      <c r="G874" s="5">
        <v>0</v>
      </c>
      <c r="H874" s="4">
        <v>0</v>
      </c>
    </row>
    <row r="875" spans="1:8" x14ac:dyDescent="0.2">
      <c r="A875" s="2" t="s">
        <v>69</v>
      </c>
      <c r="B875" s="4">
        <v>11</v>
      </c>
      <c r="C875" s="5">
        <v>4.7</v>
      </c>
      <c r="D875" s="4">
        <v>2</v>
      </c>
      <c r="E875" s="5">
        <v>1.53</v>
      </c>
      <c r="F875" s="4">
        <v>9</v>
      </c>
      <c r="G875" s="5">
        <v>8.82</v>
      </c>
      <c r="H875" s="4">
        <v>0</v>
      </c>
    </row>
    <row r="876" spans="1:8" x14ac:dyDescent="0.2">
      <c r="A876" s="2" t="s">
        <v>70</v>
      </c>
      <c r="B876" s="4">
        <v>6</v>
      </c>
      <c r="C876" s="5">
        <v>2.56</v>
      </c>
      <c r="D876" s="4">
        <v>3</v>
      </c>
      <c r="E876" s="5">
        <v>2.29</v>
      </c>
      <c r="F876" s="4">
        <v>3</v>
      </c>
      <c r="G876" s="5">
        <v>2.94</v>
      </c>
      <c r="H876" s="4">
        <v>0</v>
      </c>
    </row>
    <row r="877" spans="1:8" x14ac:dyDescent="0.2">
      <c r="A877" s="2" t="s">
        <v>71</v>
      </c>
      <c r="B877" s="4">
        <v>34</v>
      </c>
      <c r="C877" s="5">
        <v>14.53</v>
      </c>
      <c r="D877" s="4">
        <v>28</v>
      </c>
      <c r="E877" s="5">
        <v>21.37</v>
      </c>
      <c r="F877" s="4">
        <v>6</v>
      </c>
      <c r="G877" s="5">
        <v>5.88</v>
      </c>
      <c r="H877" s="4">
        <v>0</v>
      </c>
    </row>
    <row r="878" spans="1:8" x14ac:dyDescent="0.2">
      <c r="A878" s="2" t="s">
        <v>72</v>
      </c>
      <c r="B878" s="4">
        <v>28</v>
      </c>
      <c r="C878" s="5">
        <v>11.97</v>
      </c>
      <c r="D878" s="4">
        <v>23</v>
      </c>
      <c r="E878" s="5">
        <v>17.559999999999999</v>
      </c>
      <c r="F878" s="4">
        <v>5</v>
      </c>
      <c r="G878" s="5">
        <v>4.9000000000000004</v>
      </c>
      <c r="H878" s="4">
        <v>0</v>
      </c>
    </row>
    <row r="879" spans="1:8" x14ac:dyDescent="0.2">
      <c r="A879" s="2" t="s">
        <v>73</v>
      </c>
      <c r="B879" s="4">
        <v>9</v>
      </c>
      <c r="C879" s="5">
        <v>3.85</v>
      </c>
      <c r="D879" s="4">
        <v>7</v>
      </c>
      <c r="E879" s="5">
        <v>5.34</v>
      </c>
      <c r="F879" s="4">
        <v>2</v>
      </c>
      <c r="G879" s="5">
        <v>1.96</v>
      </c>
      <c r="H879" s="4">
        <v>0</v>
      </c>
    </row>
    <row r="880" spans="1:8" x14ac:dyDescent="0.2">
      <c r="A880" s="2" t="s">
        <v>74</v>
      </c>
      <c r="B880" s="4">
        <v>10</v>
      </c>
      <c r="C880" s="5">
        <v>4.2699999999999996</v>
      </c>
      <c r="D880" s="4">
        <v>6</v>
      </c>
      <c r="E880" s="5">
        <v>4.58</v>
      </c>
      <c r="F880" s="4">
        <v>4</v>
      </c>
      <c r="G880" s="5">
        <v>3.92</v>
      </c>
      <c r="H880" s="4">
        <v>0</v>
      </c>
    </row>
    <row r="881" spans="1:8" x14ac:dyDescent="0.2">
      <c r="A881" s="2" t="s">
        <v>75</v>
      </c>
      <c r="B881" s="4">
        <v>20</v>
      </c>
      <c r="C881" s="5">
        <v>8.5500000000000007</v>
      </c>
      <c r="D881" s="4">
        <v>16</v>
      </c>
      <c r="E881" s="5">
        <v>12.21</v>
      </c>
      <c r="F881" s="4">
        <v>4</v>
      </c>
      <c r="G881" s="5">
        <v>3.92</v>
      </c>
      <c r="H881" s="4">
        <v>0</v>
      </c>
    </row>
    <row r="882" spans="1:8" x14ac:dyDescent="0.2">
      <c r="A882" s="1" t="s">
        <v>55</v>
      </c>
      <c r="B882" s="4">
        <v>222</v>
      </c>
      <c r="C882" s="5">
        <v>99.98</v>
      </c>
      <c r="D882" s="4">
        <v>122</v>
      </c>
      <c r="E882" s="5">
        <v>100.01</v>
      </c>
      <c r="F882" s="4">
        <v>99</v>
      </c>
      <c r="G882" s="5">
        <v>99.989999999999981</v>
      </c>
      <c r="H882" s="4">
        <v>1</v>
      </c>
    </row>
    <row r="883" spans="1:8" x14ac:dyDescent="0.2">
      <c r="A883" s="2" t="s">
        <v>61</v>
      </c>
      <c r="B883" s="4">
        <v>0</v>
      </c>
      <c r="C883" s="5">
        <v>0</v>
      </c>
      <c r="D883" s="4">
        <v>0</v>
      </c>
      <c r="E883" s="5">
        <v>0</v>
      </c>
      <c r="F883" s="4">
        <v>0</v>
      </c>
      <c r="G883" s="5">
        <v>0</v>
      </c>
      <c r="H883" s="4">
        <v>0</v>
      </c>
    </row>
    <row r="884" spans="1:8" x14ac:dyDescent="0.2">
      <c r="A884" s="2" t="s">
        <v>62</v>
      </c>
      <c r="B884" s="4">
        <v>45</v>
      </c>
      <c r="C884" s="5">
        <v>20.27</v>
      </c>
      <c r="D884" s="4">
        <v>15</v>
      </c>
      <c r="E884" s="5">
        <v>12.3</v>
      </c>
      <c r="F884" s="4">
        <v>30</v>
      </c>
      <c r="G884" s="5">
        <v>30.3</v>
      </c>
      <c r="H884" s="4">
        <v>0</v>
      </c>
    </row>
    <row r="885" spans="1:8" x14ac:dyDescent="0.2">
      <c r="A885" s="2" t="s">
        <v>63</v>
      </c>
      <c r="B885" s="4">
        <v>24</v>
      </c>
      <c r="C885" s="5">
        <v>10.81</v>
      </c>
      <c r="D885" s="4">
        <v>10</v>
      </c>
      <c r="E885" s="5">
        <v>8.1999999999999993</v>
      </c>
      <c r="F885" s="4">
        <v>14</v>
      </c>
      <c r="G885" s="5">
        <v>14.14</v>
      </c>
      <c r="H885" s="4">
        <v>0</v>
      </c>
    </row>
    <row r="886" spans="1:8" x14ac:dyDescent="0.2">
      <c r="A886" s="2" t="s">
        <v>64</v>
      </c>
      <c r="B886" s="4">
        <v>0</v>
      </c>
      <c r="C886" s="5">
        <v>0</v>
      </c>
      <c r="D886" s="4">
        <v>0</v>
      </c>
      <c r="E886" s="5">
        <v>0</v>
      </c>
      <c r="F886" s="4">
        <v>0</v>
      </c>
      <c r="G886" s="5">
        <v>0</v>
      </c>
      <c r="H886" s="4">
        <v>0</v>
      </c>
    </row>
    <row r="887" spans="1:8" x14ac:dyDescent="0.2">
      <c r="A887" s="2" t="s">
        <v>65</v>
      </c>
      <c r="B887" s="4">
        <v>2</v>
      </c>
      <c r="C887" s="5">
        <v>0.9</v>
      </c>
      <c r="D887" s="4">
        <v>0</v>
      </c>
      <c r="E887" s="5">
        <v>0</v>
      </c>
      <c r="F887" s="4">
        <v>2</v>
      </c>
      <c r="G887" s="5">
        <v>2.02</v>
      </c>
      <c r="H887" s="4">
        <v>0</v>
      </c>
    </row>
    <row r="888" spans="1:8" x14ac:dyDescent="0.2">
      <c r="A888" s="2" t="s">
        <v>66</v>
      </c>
      <c r="B888" s="4">
        <v>2</v>
      </c>
      <c r="C888" s="5">
        <v>0.9</v>
      </c>
      <c r="D888" s="4">
        <v>0</v>
      </c>
      <c r="E888" s="5">
        <v>0</v>
      </c>
      <c r="F888" s="4">
        <v>2</v>
      </c>
      <c r="G888" s="5">
        <v>2.02</v>
      </c>
      <c r="H888" s="4">
        <v>0</v>
      </c>
    </row>
    <row r="889" spans="1:8" x14ac:dyDescent="0.2">
      <c r="A889" s="2" t="s">
        <v>67</v>
      </c>
      <c r="B889" s="4">
        <v>47</v>
      </c>
      <c r="C889" s="5">
        <v>21.17</v>
      </c>
      <c r="D889" s="4">
        <v>28</v>
      </c>
      <c r="E889" s="5">
        <v>22.95</v>
      </c>
      <c r="F889" s="4">
        <v>19</v>
      </c>
      <c r="G889" s="5">
        <v>19.190000000000001</v>
      </c>
      <c r="H889" s="4">
        <v>0</v>
      </c>
    </row>
    <row r="890" spans="1:8" x14ac:dyDescent="0.2">
      <c r="A890" s="2" t="s">
        <v>68</v>
      </c>
      <c r="B890" s="4">
        <v>1</v>
      </c>
      <c r="C890" s="5">
        <v>0.45</v>
      </c>
      <c r="D890" s="4">
        <v>0</v>
      </c>
      <c r="E890" s="5">
        <v>0</v>
      </c>
      <c r="F890" s="4">
        <v>1</v>
      </c>
      <c r="G890" s="5">
        <v>1.01</v>
      </c>
      <c r="H890" s="4">
        <v>0</v>
      </c>
    </row>
    <row r="891" spans="1:8" x14ac:dyDescent="0.2">
      <c r="A891" s="2" t="s">
        <v>69</v>
      </c>
      <c r="B891" s="4">
        <v>8</v>
      </c>
      <c r="C891" s="5">
        <v>3.6</v>
      </c>
      <c r="D891" s="4">
        <v>1</v>
      </c>
      <c r="E891" s="5">
        <v>0.82</v>
      </c>
      <c r="F891" s="4">
        <v>7</v>
      </c>
      <c r="G891" s="5">
        <v>7.07</v>
      </c>
      <c r="H891" s="4">
        <v>0</v>
      </c>
    </row>
    <row r="892" spans="1:8" x14ac:dyDescent="0.2">
      <c r="A892" s="2" t="s">
        <v>70</v>
      </c>
      <c r="B892" s="4">
        <v>5</v>
      </c>
      <c r="C892" s="5">
        <v>2.25</v>
      </c>
      <c r="D892" s="4">
        <v>2</v>
      </c>
      <c r="E892" s="5">
        <v>1.64</v>
      </c>
      <c r="F892" s="4">
        <v>3</v>
      </c>
      <c r="G892" s="5">
        <v>3.03</v>
      </c>
      <c r="H892" s="4">
        <v>0</v>
      </c>
    </row>
    <row r="893" spans="1:8" x14ac:dyDescent="0.2">
      <c r="A893" s="2" t="s">
        <v>71</v>
      </c>
      <c r="B893" s="4">
        <v>36</v>
      </c>
      <c r="C893" s="5">
        <v>16.22</v>
      </c>
      <c r="D893" s="4">
        <v>29</v>
      </c>
      <c r="E893" s="5">
        <v>23.77</v>
      </c>
      <c r="F893" s="4">
        <v>7</v>
      </c>
      <c r="G893" s="5">
        <v>7.07</v>
      </c>
      <c r="H893" s="4">
        <v>0</v>
      </c>
    </row>
    <row r="894" spans="1:8" x14ac:dyDescent="0.2">
      <c r="A894" s="2" t="s">
        <v>72</v>
      </c>
      <c r="B894" s="4">
        <v>33</v>
      </c>
      <c r="C894" s="5">
        <v>14.86</v>
      </c>
      <c r="D894" s="4">
        <v>28</v>
      </c>
      <c r="E894" s="5">
        <v>22.95</v>
      </c>
      <c r="F894" s="4">
        <v>5</v>
      </c>
      <c r="G894" s="5">
        <v>5.05</v>
      </c>
      <c r="H894" s="4">
        <v>0</v>
      </c>
    </row>
    <row r="895" spans="1:8" x14ac:dyDescent="0.2">
      <c r="A895" s="2" t="s">
        <v>73</v>
      </c>
      <c r="B895" s="4">
        <v>2</v>
      </c>
      <c r="C895" s="5">
        <v>0.9</v>
      </c>
      <c r="D895" s="4">
        <v>2</v>
      </c>
      <c r="E895" s="5">
        <v>1.64</v>
      </c>
      <c r="F895" s="4">
        <v>0</v>
      </c>
      <c r="G895" s="5">
        <v>0</v>
      </c>
      <c r="H895" s="4">
        <v>0</v>
      </c>
    </row>
    <row r="896" spans="1:8" x14ac:dyDescent="0.2">
      <c r="A896" s="2" t="s">
        <v>74</v>
      </c>
      <c r="B896" s="4">
        <v>6</v>
      </c>
      <c r="C896" s="5">
        <v>2.7</v>
      </c>
      <c r="D896" s="4">
        <v>4</v>
      </c>
      <c r="E896" s="5">
        <v>3.28</v>
      </c>
      <c r="F896" s="4">
        <v>2</v>
      </c>
      <c r="G896" s="5">
        <v>2.02</v>
      </c>
      <c r="H896" s="4">
        <v>0</v>
      </c>
    </row>
    <row r="897" spans="1:8" x14ac:dyDescent="0.2">
      <c r="A897" s="2" t="s">
        <v>75</v>
      </c>
      <c r="B897" s="4">
        <v>11</v>
      </c>
      <c r="C897" s="5">
        <v>4.95</v>
      </c>
      <c r="D897" s="4">
        <v>3</v>
      </c>
      <c r="E897" s="5">
        <v>2.46</v>
      </c>
      <c r="F897" s="4">
        <v>7</v>
      </c>
      <c r="G897" s="5">
        <v>7.07</v>
      </c>
      <c r="H897" s="4">
        <v>1</v>
      </c>
    </row>
    <row r="898" spans="1:8" x14ac:dyDescent="0.2">
      <c r="A898" s="1" t="s">
        <v>56</v>
      </c>
      <c r="B898" s="4">
        <v>149</v>
      </c>
      <c r="C898" s="5">
        <v>100.00000000000001</v>
      </c>
      <c r="D898" s="4">
        <v>70</v>
      </c>
      <c r="E898" s="5">
        <v>100</v>
      </c>
      <c r="F898" s="4">
        <v>77</v>
      </c>
      <c r="G898" s="5">
        <v>100</v>
      </c>
      <c r="H898" s="4">
        <v>0</v>
      </c>
    </row>
    <row r="899" spans="1:8" x14ac:dyDescent="0.2">
      <c r="A899" s="2" t="s">
        <v>61</v>
      </c>
      <c r="B899" s="4">
        <v>0</v>
      </c>
      <c r="C899" s="5">
        <v>0</v>
      </c>
      <c r="D899" s="4">
        <v>0</v>
      </c>
      <c r="E899" s="5">
        <v>0</v>
      </c>
      <c r="F899" s="4">
        <v>0</v>
      </c>
      <c r="G899" s="5">
        <v>0</v>
      </c>
      <c r="H899" s="4">
        <v>0</v>
      </c>
    </row>
    <row r="900" spans="1:8" x14ac:dyDescent="0.2">
      <c r="A900" s="2" t="s">
        <v>62</v>
      </c>
      <c r="B900" s="4">
        <v>33</v>
      </c>
      <c r="C900" s="5">
        <v>22.15</v>
      </c>
      <c r="D900" s="4">
        <v>11</v>
      </c>
      <c r="E900" s="5">
        <v>15.71</v>
      </c>
      <c r="F900" s="4">
        <v>22</v>
      </c>
      <c r="G900" s="5">
        <v>28.57</v>
      </c>
      <c r="H900" s="4">
        <v>0</v>
      </c>
    </row>
    <row r="901" spans="1:8" x14ac:dyDescent="0.2">
      <c r="A901" s="2" t="s">
        <v>63</v>
      </c>
      <c r="B901" s="4">
        <v>29</v>
      </c>
      <c r="C901" s="5">
        <v>19.46</v>
      </c>
      <c r="D901" s="4">
        <v>7</v>
      </c>
      <c r="E901" s="5">
        <v>10</v>
      </c>
      <c r="F901" s="4">
        <v>22</v>
      </c>
      <c r="G901" s="5">
        <v>28.57</v>
      </c>
      <c r="H901" s="4">
        <v>0</v>
      </c>
    </row>
    <row r="902" spans="1:8" x14ac:dyDescent="0.2">
      <c r="A902" s="2" t="s">
        <v>64</v>
      </c>
      <c r="B902" s="4">
        <v>0</v>
      </c>
      <c r="C902" s="5">
        <v>0</v>
      </c>
      <c r="D902" s="4">
        <v>0</v>
      </c>
      <c r="E902" s="5">
        <v>0</v>
      </c>
      <c r="F902" s="4">
        <v>0</v>
      </c>
      <c r="G902" s="5">
        <v>0</v>
      </c>
      <c r="H902" s="4">
        <v>0</v>
      </c>
    </row>
    <row r="903" spans="1:8" x14ac:dyDescent="0.2">
      <c r="A903" s="2" t="s">
        <v>65</v>
      </c>
      <c r="B903" s="4">
        <v>0</v>
      </c>
      <c r="C903" s="5">
        <v>0</v>
      </c>
      <c r="D903" s="4">
        <v>0</v>
      </c>
      <c r="E903" s="5">
        <v>0</v>
      </c>
      <c r="F903" s="4">
        <v>0</v>
      </c>
      <c r="G903" s="5">
        <v>0</v>
      </c>
      <c r="H903" s="4">
        <v>0</v>
      </c>
    </row>
    <row r="904" spans="1:8" x14ac:dyDescent="0.2">
      <c r="A904" s="2" t="s">
        <v>66</v>
      </c>
      <c r="B904" s="4">
        <v>0</v>
      </c>
      <c r="C904" s="5">
        <v>0</v>
      </c>
      <c r="D904" s="4">
        <v>0</v>
      </c>
      <c r="E904" s="5">
        <v>0</v>
      </c>
      <c r="F904" s="4">
        <v>0</v>
      </c>
      <c r="G904" s="5">
        <v>0</v>
      </c>
      <c r="H904" s="4">
        <v>0</v>
      </c>
    </row>
    <row r="905" spans="1:8" x14ac:dyDescent="0.2">
      <c r="A905" s="2" t="s">
        <v>67</v>
      </c>
      <c r="B905" s="4">
        <v>25</v>
      </c>
      <c r="C905" s="5">
        <v>16.78</v>
      </c>
      <c r="D905" s="4">
        <v>16</v>
      </c>
      <c r="E905" s="5">
        <v>22.86</v>
      </c>
      <c r="F905" s="4">
        <v>9</v>
      </c>
      <c r="G905" s="5">
        <v>11.69</v>
      </c>
      <c r="H905" s="4">
        <v>0</v>
      </c>
    </row>
    <row r="906" spans="1:8" x14ac:dyDescent="0.2">
      <c r="A906" s="2" t="s">
        <v>68</v>
      </c>
      <c r="B906" s="4">
        <v>0</v>
      </c>
      <c r="C906" s="5">
        <v>0</v>
      </c>
      <c r="D906" s="4">
        <v>0</v>
      </c>
      <c r="E906" s="5">
        <v>0</v>
      </c>
      <c r="F906" s="4">
        <v>0</v>
      </c>
      <c r="G906" s="5">
        <v>0</v>
      </c>
      <c r="H906" s="4">
        <v>0</v>
      </c>
    </row>
    <row r="907" spans="1:8" x14ac:dyDescent="0.2">
      <c r="A907" s="2" t="s">
        <v>69</v>
      </c>
      <c r="B907" s="4">
        <v>7</v>
      </c>
      <c r="C907" s="5">
        <v>4.7</v>
      </c>
      <c r="D907" s="4">
        <v>1</v>
      </c>
      <c r="E907" s="5">
        <v>1.43</v>
      </c>
      <c r="F907" s="4">
        <v>6</v>
      </c>
      <c r="G907" s="5">
        <v>7.79</v>
      </c>
      <c r="H907" s="4">
        <v>0</v>
      </c>
    </row>
    <row r="908" spans="1:8" x14ac:dyDescent="0.2">
      <c r="A908" s="2" t="s">
        <v>70</v>
      </c>
      <c r="B908" s="4">
        <v>5</v>
      </c>
      <c r="C908" s="5">
        <v>3.36</v>
      </c>
      <c r="D908" s="4">
        <v>2</v>
      </c>
      <c r="E908" s="5">
        <v>2.86</v>
      </c>
      <c r="F908" s="4">
        <v>3</v>
      </c>
      <c r="G908" s="5">
        <v>3.9</v>
      </c>
      <c r="H908" s="4">
        <v>0</v>
      </c>
    </row>
    <row r="909" spans="1:8" x14ac:dyDescent="0.2">
      <c r="A909" s="2" t="s">
        <v>71</v>
      </c>
      <c r="B909" s="4">
        <v>18</v>
      </c>
      <c r="C909" s="5">
        <v>12.08</v>
      </c>
      <c r="D909" s="4">
        <v>13</v>
      </c>
      <c r="E909" s="5">
        <v>18.57</v>
      </c>
      <c r="F909" s="4">
        <v>4</v>
      </c>
      <c r="G909" s="5">
        <v>5.19</v>
      </c>
      <c r="H909" s="4">
        <v>0</v>
      </c>
    </row>
    <row r="910" spans="1:8" x14ac:dyDescent="0.2">
      <c r="A910" s="2" t="s">
        <v>72</v>
      </c>
      <c r="B910" s="4">
        <v>13</v>
      </c>
      <c r="C910" s="5">
        <v>8.7200000000000006</v>
      </c>
      <c r="D910" s="4">
        <v>13</v>
      </c>
      <c r="E910" s="5">
        <v>18.57</v>
      </c>
      <c r="F910" s="4">
        <v>0</v>
      </c>
      <c r="G910" s="5">
        <v>0</v>
      </c>
      <c r="H910" s="4">
        <v>0</v>
      </c>
    </row>
    <row r="911" spans="1:8" x14ac:dyDescent="0.2">
      <c r="A911" s="2" t="s">
        <v>73</v>
      </c>
      <c r="B911" s="4">
        <v>3</v>
      </c>
      <c r="C911" s="5">
        <v>2.0099999999999998</v>
      </c>
      <c r="D911" s="4">
        <v>2</v>
      </c>
      <c r="E911" s="5">
        <v>2.86</v>
      </c>
      <c r="F911" s="4">
        <v>1</v>
      </c>
      <c r="G911" s="5">
        <v>1.3</v>
      </c>
      <c r="H911" s="4">
        <v>0</v>
      </c>
    </row>
    <row r="912" spans="1:8" x14ac:dyDescent="0.2">
      <c r="A912" s="2" t="s">
        <v>74</v>
      </c>
      <c r="B912" s="4">
        <v>2</v>
      </c>
      <c r="C912" s="5">
        <v>1.34</v>
      </c>
      <c r="D912" s="4">
        <v>1</v>
      </c>
      <c r="E912" s="5">
        <v>1.43</v>
      </c>
      <c r="F912" s="4">
        <v>0</v>
      </c>
      <c r="G912" s="5">
        <v>0</v>
      </c>
      <c r="H912" s="4">
        <v>0</v>
      </c>
    </row>
    <row r="913" spans="1:8" x14ac:dyDescent="0.2">
      <c r="A913" s="2" t="s">
        <v>75</v>
      </c>
      <c r="B913" s="4">
        <v>14</v>
      </c>
      <c r="C913" s="5">
        <v>9.4</v>
      </c>
      <c r="D913" s="4">
        <v>4</v>
      </c>
      <c r="E913" s="5">
        <v>5.71</v>
      </c>
      <c r="F913" s="4">
        <v>10</v>
      </c>
      <c r="G913" s="5">
        <v>12.99</v>
      </c>
      <c r="H913" s="4">
        <v>0</v>
      </c>
    </row>
    <row r="914" spans="1:8" x14ac:dyDescent="0.2">
      <c r="A914" s="1" t="s">
        <v>57</v>
      </c>
      <c r="B914" s="4">
        <v>188</v>
      </c>
      <c r="C914" s="5">
        <v>99.990000000000009</v>
      </c>
      <c r="D914" s="4">
        <v>108</v>
      </c>
      <c r="E914" s="5">
        <v>99.999999999999986</v>
      </c>
      <c r="F914" s="4">
        <v>79</v>
      </c>
      <c r="G914" s="5">
        <v>100</v>
      </c>
      <c r="H914" s="4">
        <v>1</v>
      </c>
    </row>
    <row r="915" spans="1:8" x14ac:dyDescent="0.2">
      <c r="A915" s="2" t="s">
        <v>61</v>
      </c>
      <c r="B915" s="4">
        <v>0</v>
      </c>
      <c r="C915" s="5">
        <v>0</v>
      </c>
      <c r="D915" s="4">
        <v>0</v>
      </c>
      <c r="E915" s="5">
        <v>0</v>
      </c>
      <c r="F915" s="4">
        <v>0</v>
      </c>
      <c r="G915" s="5">
        <v>0</v>
      </c>
      <c r="H915" s="4">
        <v>0</v>
      </c>
    </row>
    <row r="916" spans="1:8" x14ac:dyDescent="0.2">
      <c r="A916" s="2" t="s">
        <v>62</v>
      </c>
      <c r="B916" s="4">
        <v>44</v>
      </c>
      <c r="C916" s="5">
        <v>23.4</v>
      </c>
      <c r="D916" s="4">
        <v>17</v>
      </c>
      <c r="E916" s="5">
        <v>15.74</v>
      </c>
      <c r="F916" s="4">
        <v>27</v>
      </c>
      <c r="G916" s="5">
        <v>34.18</v>
      </c>
      <c r="H916" s="4">
        <v>0</v>
      </c>
    </row>
    <row r="917" spans="1:8" x14ac:dyDescent="0.2">
      <c r="A917" s="2" t="s">
        <v>63</v>
      </c>
      <c r="B917" s="4">
        <v>22</v>
      </c>
      <c r="C917" s="5">
        <v>11.7</v>
      </c>
      <c r="D917" s="4">
        <v>4</v>
      </c>
      <c r="E917" s="5">
        <v>3.7</v>
      </c>
      <c r="F917" s="4">
        <v>18</v>
      </c>
      <c r="G917" s="5">
        <v>22.78</v>
      </c>
      <c r="H917" s="4">
        <v>0</v>
      </c>
    </row>
    <row r="918" spans="1:8" x14ac:dyDescent="0.2">
      <c r="A918" s="2" t="s">
        <v>64</v>
      </c>
      <c r="B918" s="4">
        <v>0</v>
      </c>
      <c r="C918" s="5">
        <v>0</v>
      </c>
      <c r="D918" s="4">
        <v>0</v>
      </c>
      <c r="E918" s="5">
        <v>0</v>
      </c>
      <c r="F918" s="4">
        <v>0</v>
      </c>
      <c r="G918" s="5">
        <v>0</v>
      </c>
      <c r="H918" s="4">
        <v>0</v>
      </c>
    </row>
    <row r="919" spans="1:8" x14ac:dyDescent="0.2">
      <c r="A919" s="2" t="s">
        <v>65</v>
      </c>
      <c r="B919" s="4">
        <v>0</v>
      </c>
      <c r="C919" s="5">
        <v>0</v>
      </c>
      <c r="D919" s="4">
        <v>0</v>
      </c>
      <c r="E919" s="5">
        <v>0</v>
      </c>
      <c r="F919" s="4">
        <v>0</v>
      </c>
      <c r="G919" s="5">
        <v>0</v>
      </c>
      <c r="H919" s="4">
        <v>0</v>
      </c>
    </row>
    <row r="920" spans="1:8" x14ac:dyDescent="0.2">
      <c r="A920" s="2" t="s">
        <v>66</v>
      </c>
      <c r="B920" s="4">
        <v>5</v>
      </c>
      <c r="C920" s="5">
        <v>2.66</v>
      </c>
      <c r="D920" s="4">
        <v>1</v>
      </c>
      <c r="E920" s="5">
        <v>0.93</v>
      </c>
      <c r="F920" s="4">
        <v>4</v>
      </c>
      <c r="G920" s="5">
        <v>5.0599999999999996</v>
      </c>
      <c r="H920" s="4">
        <v>0</v>
      </c>
    </row>
    <row r="921" spans="1:8" x14ac:dyDescent="0.2">
      <c r="A921" s="2" t="s">
        <v>67</v>
      </c>
      <c r="B921" s="4">
        <v>41</v>
      </c>
      <c r="C921" s="5">
        <v>21.81</v>
      </c>
      <c r="D921" s="4">
        <v>28</v>
      </c>
      <c r="E921" s="5">
        <v>25.93</v>
      </c>
      <c r="F921" s="4">
        <v>13</v>
      </c>
      <c r="G921" s="5">
        <v>16.46</v>
      </c>
      <c r="H921" s="4">
        <v>0</v>
      </c>
    </row>
    <row r="922" spans="1:8" x14ac:dyDescent="0.2">
      <c r="A922" s="2" t="s">
        <v>68</v>
      </c>
      <c r="B922" s="4">
        <v>0</v>
      </c>
      <c r="C922" s="5">
        <v>0</v>
      </c>
      <c r="D922" s="4">
        <v>0</v>
      </c>
      <c r="E922" s="5">
        <v>0</v>
      </c>
      <c r="F922" s="4">
        <v>0</v>
      </c>
      <c r="G922" s="5">
        <v>0</v>
      </c>
      <c r="H922" s="4">
        <v>0</v>
      </c>
    </row>
    <row r="923" spans="1:8" x14ac:dyDescent="0.2">
      <c r="A923" s="2" t="s">
        <v>69</v>
      </c>
      <c r="B923" s="4">
        <v>4</v>
      </c>
      <c r="C923" s="5">
        <v>2.13</v>
      </c>
      <c r="D923" s="4">
        <v>1</v>
      </c>
      <c r="E923" s="5">
        <v>0.93</v>
      </c>
      <c r="F923" s="4">
        <v>3</v>
      </c>
      <c r="G923" s="5">
        <v>3.8</v>
      </c>
      <c r="H923" s="4">
        <v>0</v>
      </c>
    </row>
    <row r="924" spans="1:8" x14ac:dyDescent="0.2">
      <c r="A924" s="2" t="s">
        <v>70</v>
      </c>
      <c r="B924" s="4">
        <v>2</v>
      </c>
      <c r="C924" s="5">
        <v>1.06</v>
      </c>
      <c r="D924" s="4">
        <v>0</v>
      </c>
      <c r="E924" s="5">
        <v>0</v>
      </c>
      <c r="F924" s="4">
        <v>2</v>
      </c>
      <c r="G924" s="5">
        <v>2.5299999999999998</v>
      </c>
      <c r="H924" s="4">
        <v>0</v>
      </c>
    </row>
    <row r="925" spans="1:8" x14ac:dyDescent="0.2">
      <c r="A925" s="2" t="s">
        <v>71</v>
      </c>
      <c r="B925" s="4">
        <v>27</v>
      </c>
      <c r="C925" s="5">
        <v>14.36</v>
      </c>
      <c r="D925" s="4">
        <v>21</v>
      </c>
      <c r="E925" s="5">
        <v>19.440000000000001</v>
      </c>
      <c r="F925" s="4">
        <v>6</v>
      </c>
      <c r="G925" s="5">
        <v>7.59</v>
      </c>
      <c r="H925" s="4">
        <v>0</v>
      </c>
    </row>
    <row r="926" spans="1:8" x14ac:dyDescent="0.2">
      <c r="A926" s="2" t="s">
        <v>72</v>
      </c>
      <c r="B926" s="4">
        <v>23</v>
      </c>
      <c r="C926" s="5">
        <v>12.23</v>
      </c>
      <c r="D926" s="4">
        <v>21</v>
      </c>
      <c r="E926" s="5">
        <v>19.440000000000001</v>
      </c>
      <c r="F926" s="4">
        <v>2</v>
      </c>
      <c r="G926" s="5">
        <v>2.5299999999999998</v>
      </c>
      <c r="H926" s="4">
        <v>0</v>
      </c>
    </row>
    <row r="927" spans="1:8" x14ac:dyDescent="0.2">
      <c r="A927" s="2" t="s">
        <v>73</v>
      </c>
      <c r="B927" s="4">
        <v>3</v>
      </c>
      <c r="C927" s="5">
        <v>1.6</v>
      </c>
      <c r="D927" s="4">
        <v>2</v>
      </c>
      <c r="E927" s="5">
        <v>1.85</v>
      </c>
      <c r="F927" s="4">
        <v>1</v>
      </c>
      <c r="G927" s="5">
        <v>1.27</v>
      </c>
      <c r="H927" s="4">
        <v>0</v>
      </c>
    </row>
    <row r="928" spans="1:8" x14ac:dyDescent="0.2">
      <c r="A928" s="2" t="s">
        <v>74</v>
      </c>
      <c r="B928" s="4">
        <v>7</v>
      </c>
      <c r="C928" s="5">
        <v>3.72</v>
      </c>
      <c r="D928" s="4">
        <v>5</v>
      </c>
      <c r="E928" s="5">
        <v>4.63</v>
      </c>
      <c r="F928" s="4">
        <v>2</v>
      </c>
      <c r="G928" s="5">
        <v>2.5299999999999998</v>
      </c>
      <c r="H928" s="4">
        <v>0</v>
      </c>
    </row>
    <row r="929" spans="1:8" x14ac:dyDescent="0.2">
      <c r="A929" s="2" t="s">
        <v>75</v>
      </c>
      <c r="B929" s="4">
        <v>10</v>
      </c>
      <c r="C929" s="5">
        <v>5.32</v>
      </c>
      <c r="D929" s="4">
        <v>8</v>
      </c>
      <c r="E929" s="5">
        <v>7.41</v>
      </c>
      <c r="F929" s="4">
        <v>1</v>
      </c>
      <c r="G929" s="5">
        <v>1.27</v>
      </c>
      <c r="H929" s="4">
        <v>1</v>
      </c>
    </row>
    <row r="930" spans="1:8" x14ac:dyDescent="0.2">
      <c r="A930" s="1" t="s">
        <v>58</v>
      </c>
      <c r="B930" s="4">
        <v>312</v>
      </c>
      <c r="C930" s="5">
        <v>100.00999999999998</v>
      </c>
      <c r="D930" s="4">
        <v>177</v>
      </c>
      <c r="E930" s="5">
        <v>99.969999999999985</v>
      </c>
      <c r="F930" s="4">
        <v>132</v>
      </c>
      <c r="G930" s="5">
        <v>100</v>
      </c>
      <c r="H930" s="4">
        <v>0</v>
      </c>
    </row>
    <row r="931" spans="1:8" x14ac:dyDescent="0.2">
      <c r="A931" s="2" t="s">
        <v>61</v>
      </c>
      <c r="B931" s="4">
        <v>0</v>
      </c>
      <c r="C931" s="5">
        <v>0</v>
      </c>
      <c r="D931" s="4">
        <v>0</v>
      </c>
      <c r="E931" s="5">
        <v>0</v>
      </c>
      <c r="F931" s="4">
        <v>0</v>
      </c>
      <c r="G931" s="5">
        <v>0</v>
      </c>
      <c r="H931" s="4">
        <v>0</v>
      </c>
    </row>
    <row r="932" spans="1:8" x14ac:dyDescent="0.2">
      <c r="A932" s="2" t="s">
        <v>62</v>
      </c>
      <c r="B932" s="4">
        <v>57</v>
      </c>
      <c r="C932" s="5">
        <v>18.27</v>
      </c>
      <c r="D932" s="4">
        <v>32</v>
      </c>
      <c r="E932" s="5">
        <v>18.079999999999998</v>
      </c>
      <c r="F932" s="4">
        <v>25</v>
      </c>
      <c r="G932" s="5">
        <v>18.940000000000001</v>
      </c>
      <c r="H932" s="4">
        <v>0</v>
      </c>
    </row>
    <row r="933" spans="1:8" x14ac:dyDescent="0.2">
      <c r="A933" s="2" t="s">
        <v>63</v>
      </c>
      <c r="B933" s="4">
        <v>41</v>
      </c>
      <c r="C933" s="5">
        <v>13.14</v>
      </c>
      <c r="D933" s="4">
        <v>15</v>
      </c>
      <c r="E933" s="5">
        <v>8.4700000000000006</v>
      </c>
      <c r="F933" s="4">
        <v>26</v>
      </c>
      <c r="G933" s="5">
        <v>19.7</v>
      </c>
      <c r="H933" s="4">
        <v>0</v>
      </c>
    </row>
    <row r="934" spans="1:8" x14ac:dyDescent="0.2">
      <c r="A934" s="2" t="s">
        <v>64</v>
      </c>
      <c r="B934" s="4">
        <v>1</v>
      </c>
      <c r="C934" s="5">
        <v>0.32</v>
      </c>
      <c r="D934" s="4">
        <v>0</v>
      </c>
      <c r="E934" s="5">
        <v>0</v>
      </c>
      <c r="F934" s="4">
        <v>1</v>
      </c>
      <c r="G934" s="5">
        <v>0.76</v>
      </c>
      <c r="H934" s="4">
        <v>0</v>
      </c>
    </row>
    <row r="935" spans="1:8" x14ac:dyDescent="0.2">
      <c r="A935" s="2" t="s">
        <v>65</v>
      </c>
      <c r="B935" s="4">
        <v>2</v>
      </c>
      <c r="C935" s="5">
        <v>0.64</v>
      </c>
      <c r="D935" s="4">
        <v>1</v>
      </c>
      <c r="E935" s="5">
        <v>0.56000000000000005</v>
      </c>
      <c r="F935" s="4">
        <v>1</v>
      </c>
      <c r="G935" s="5">
        <v>0.76</v>
      </c>
      <c r="H935" s="4">
        <v>0</v>
      </c>
    </row>
    <row r="936" spans="1:8" x14ac:dyDescent="0.2">
      <c r="A936" s="2" t="s">
        <v>66</v>
      </c>
      <c r="B936" s="4">
        <v>0</v>
      </c>
      <c r="C936" s="5">
        <v>0</v>
      </c>
      <c r="D936" s="4">
        <v>0</v>
      </c>
      <c r="E936" s="5">
        <v>0</v>
      </c>
      <c r="F936" s="4">
        <v>0</v>
      </c>
      <c r="G936" s="5">
        <v>0</v>
      </c>
      <c r="H936" s="4">
        <v>0</v>
      </c>
    </row>
    <row r="937" spans="1:8" x14ac:dyDescent="0.2">
      <c r="A937" s="2" t="s">
        <v>67</v>
      </c>
      <c r="B937" s="4">
        <v>88</v>
      </c>
      <c r="C937" s="5">
        <v>28.21</v>
      </c>
      <c r="D937" s="4">
        <v>43</v>
      </c>
      <c r="E937" s="5">
        <v>24.29</v>
      </c>
      <c r="F937" s="4">
        <v>45</v>
      </c>
      <c r="G937" s="5">
        <v>34.090000000000003</v>
      </c>
      <c r="H937" s="4">
        <v>0</v>
      </c>
    </row>
    <row r="938" spans="1:8" x14ac:dyDescent="0.2">
      <c r="A938" s="2" t="s">
        <v>68</v>
      </c>
      <c r="B938" s="4">
        <v>0</v>
      </c>
      <c r="C938" s="5">
        <v>0</v>
      </c>
      <c r="D938" s="4">
        <v>0</v>
      </c>
      <c r="E938" s="5">
        <v>0</v>
      </c>
      <c r="F938" s="4">
        <v>0</v>
      </c>
      <c r="G938" s="5">
        <v>0</v>
      </c>
      <c r="H938" s="4">
        <v>0</v>
      </c>
    </row>
    <row r="939" spans="1:8" x14ac:dyDescent="0.2">
      <c r="A939" s="2" t="s">
        <v>69</v>
      </c>
      <c r="B939" s="4">
        <v>11</v>
      </c>
      <c r="C939" s="5">
        <v>3.53</v>
      </c>
      <c r="D939" s="4">
        <v>3</v>
      </c>
      <c r="E939" s="5">
        <v>1.69</v>
      </c>
      <c r="F939" s="4">
        <v>8</v>
      </c>
      <c r="G939" s="5">
        <v>6.06</v>
      </c>
      <c r="H939" s="4">
        <v>0</v>
      </c>
    </row>
    <row r="940" spans="1:8" x14ac:dyDescent="0.2">
      <c r="A940" s="2" t="s">
        <v>70</v>
      </c>
      <c r="B940" s="4">
        <v>3</v>
      </c>
      <c r="C940" s="5">
        <v>0.96</v>
      </c>
      <c r="D940" s="4">
        <v>3</v>
      </c>
      <c r="E940" s="5">
        <v>1.69</v>
      </c>
      <c r="F940" s="4">
        <v>0</v>
      </c>
      <c r="G940" s="5">
        <v>0</v>
      </c>
      <c r="H940" s="4">
        <v>0</v>
      </c>
    </row>
    <row r="941" spans="1:8" x14ac:dyDescent="0.2">
      <c r="A941" s="2" t="s">
        <v>71</v>
      </c>
      <c r="B941" s="4">
        <v>51</v>
      </c>
      <c r="C941" s="5">
        <v>16.350000000000001</v>
      </c>
      <c r="D941" s="4">
        <v>40</v>
      </c>
      <c r="E941" s="5">
        <v>22.6</v>
      </c>
      <c r="F941" s="4">
        <v>11</v>
      </c>
      <c r="G941" s="5">
        <v>8.33</v>
      </c>
      <c r="H941" s="4">
        <v>0</v>
      </c>
    </row>
    <row r="942" spans="1:8" x14ac:dyDescent="0.2">
      <c r="A942" s="2" t="s">
        <v>72</v>
      </c>
      <c r="B942" s="4">
        <v>36</v>
      </c>
      <c r="C942" s="5">
        <v>11.54</v>
      </c>
      <c r="D942" s="4">
        <v>28</v>
      </c>
      <c r="E942" s="5">
        <v>15.82</v>
      </c>
      <c r="F942" s="4">
        <v>7</v>
      </c>
      <c r="G942" s="5">
        <v>5.3</v>
      </c>
      <c r="H942" s="4">
        <v>0</v>
      </c>
    </row>
    <row r="943" spans="1:8" x14ac:dyDescent="0.2">
      <c r="A943" s="2" t="s">
        <v>73</v>
      </c>
      <c r="B943" s="4">
        <v>4</v>
      </c>
      <c r="C943" s="5">
        <v>1.28</v>
      </c>
      <c r="D943" s="4">
        <v>3</v>
      </c>
      <c r="E943" s="5">
        <v>1.69</v>
      </c>
      <c r="F943" s="4">
        <v>0</v>
      </c>
      <c r="G943" s="5">
        <v>0</v>
      </c>
      <c r="H943" s="4">
        <v>0</v>
      </c>
    </row>
    <row r="944" spans="1:8" x14ac:dyDescent="0.2">
      <c r="A944" s="2" t="s">
        <v>74</v>
      </c>
      <c r="B944" s="4">
        <v>7</v>
      </c>
      <c r="C944" s="5">
        <v>2.2400000000000002</v>
      </c>
      <c r="D944" s="4">
        <v>4</v>
      </c>
      <c r="E944" s="5">
        <v>2.2599999999999998</v>
      </c>
      <c r="F944" s="4">
        <v>3</v>
      </c>
      <c r="G944" s="5">
        <v>2.27</v>
      </c>
      <c r="H944" s="4">
        <v>0</v>
      </c>
    </row>
    <row r="945" spans="1:8" x14ac:dyDescent="0.2">
      <c r="A945" s="2" t="s">
        <v>75</v>
      </c>
      <c r="B945" s="4">
        <v>11</v>
      </c>
      <c r="C945" s="5">
        <v>3.53</v>
      </c>
      <c r="D945" s="4">
        <v>5</v>
      </c>
      <c r="E945" s="5">
        <v>2.82</v>
      </c>
      <c r="F945" s="4">
        <v>5</v>
      </c>
      <c r="G945" s="5">
        <v>3.79</v>
      </c>
      <c r="H945" s="4">
        <v>0</v>
      </c>
    </row>
    <row r="946" spans="1:8" x14ac:dyDescent="0.2">
      <c r="A946" s="1" t="s">
        <v>59</v>
      </c>
      <c r="B946" s="4">
        <v>227</v>
      </c>
      <c r="C946" s="5">
        <v>99.990000000000009</v>
      </c>
      <c r="D946" s="4">
        <v>142</v>
      </c>
      <c r="E946" s="5">
        <v>99.999999999999986</v>
      </c>
      <c r="F946" s="4">
        <v>81</v>
      </c>
      <c r="G946" s="5">
        <v>99.99</v>
      </c>
      <c r="H946" s="4">
        <v>0</v>
      </c>
    </row>
    <row r="947" spans="1:8" x14ac:dyDescent="0.2">
      <c r="A947" s="2" t="s">
        <v>61</v>
      </c>
      <c r="B947" s="4">
        <v>0</v>
      </c>
      <c r="C947" s="5">
        <v>0</v>
      </c>
      <c r="D947" s="4">
        <v>0</v>
      </c>
      <c r="E947" s="5">
        <v>0</v>
      </c>
      <c r="F947" s="4">
        <v>0</v>
      </c>
      <c r="G947" s="5">
        <v>0</v>
      </c>
      <c r="H947" s="4">
        <v>0</v>
      </c>
    </row>
    <row r="948" spans="1:8" x14ac:dyDescent="0.2">
      <c r="A948" s="2" t="s">
        <v>62</v>
      </c>
      <c r="B948" s="4">
        <v>31</v>
      </c>
      <c r="C948" s="5">
        <v>13.66</v>
      </c>
      <c r="D948" s="4">
        <v>13</v>
      </c>
      <c r="E948" s="5">
        <v>9.15</v>
      </c>
      <c r="F948" s="4">
        <v>18</v>
      </c>
      <c r="G948" s="5">
        <v>22.22</v>
      </c>
      <c r="H948" s="4">
        <v>0</v>
      </c>
    </row>
    <row r="949" spans="1:8" x14ac:dyDescent="0.2">
      <c r="A949" s="2" t="s">
        <v>63</v>
      </c>
      <c r="B949" s="4">
        <v>17</v>
      </c>
      <c r="C949" s="5">
        <v>7.49</v>
      </c>
      <c r="D949" s="4">
        <v>10</v>
      </c>
      <c r="E949" s="5">
        <v>7.04</v>
      </c>
      <c r="F949" s="4">
        <v>7</v>
      </c>
      <c r="G949" s="5">
        <v>8.64</v>
      </c>
      <c r="H949" s="4">
        <v>0</v>
      </c>
    </row>
    <row r="950" spans="1:8" x14ac:dyDescent="0.2">
      <c r="A950" s="2" t="s">
        <v>64</v>
      </c>
      <c r="B950" s="4">
        <v>1</v>
      </c>
      <c r="C950" s="5">
        <v>0.44</v>
      </c>
      <c r="D950" s="4">
        <v>0</v>
      </c>
      <c r="E950" s="5">
        <v>0</v>
      </c>
      <c r="F950" s="4">
        <v>0</v>
      </c>
      <c r="G950" s="5">
        <v>0</v>
      </c>
      <c r="H950" s="4">
        <v>0</v>
      </c>
    </row>
    <row r="951" spans="1:8" x14ac:dyDescent="0.2">
      <c r="A951" s="2" t="s">
        <v>65</v>
      </c>
      <c r="B951" s="4">
        <v>4</v>
      </c>
      <c r="C951" s="5">
        <v>1.76</v>
      </c>
      <c r="D951" s="4">
        <v>0</v>
      </c>
      <c r="E951" s="5">
        <v>0</v>
      </c>
      <c r="F951" s="4">
        <v>4</v>
      </c>
      <c r="G951" s="5">
        <v>4.9400000000000004</v>
      </c>
      <c r="H951" s="4">
        <v>0</v>
      </c>
    </row>
    <row r="952" spans="1:8" x14ac:dyDescent="0.2">
      <c r="A952" s="2" t="s">
        <v>66</v>
      </c>
      <c r="B952" s="4">
        <v>2</v>
      </c>
      <c r="C952" s="5">
        <v>0.88</v>
      </c>
      <c r="D952" s="4">
        <v>1</v>
      </c>
      <c r="E952" s="5">
        <v>0.7</v>
      </c>
      <c r="F952" s="4">
        <v>1</v>
      </c>
      <c r="G952" s="5">
        <v>1.23</v>
      </c>
      <c r="H952" s="4">
        <v>0</v>
      </c>
    </row>
    <row r="953" spans="1:8" x14ac:dyDescent="0.2">
      <c r="A953" s="2" t="s">
        <v>67</v>
      </c>
      <c r="B953" s="4">
        <v>47</v>
      </c>
      <c r="C953" s="5">
        <v>20.7</v>
      </c>
      <c r="D953" s="4">
        <v>28</v>
      </c>
      <c r="E953" s="5">
        <v>19.72</v>
      </c>
      <c r="F953" s="4">
        <v>19</v>
      </c>
      <c r="G953" s="5">
        <v>23.46</v>
      </c>
      <c r="H953" s="4">
        <v>0</v>
      </c>
    </row>
    <row r="954" spans="1:8" x14ac:dyDescent="0.2">
      <c r="A954" s="2" t="s">
        <v>68</v>
      </c>
      <c r="B954" s="4">
        <v>0</v>
      </c>
      <c r="C954" s="5">
        <v>0</v>
      </c>
      <c r="D954" s="4">
        <v>0</v>
      </c>
      <c r="E954" s="5">
        <v>0</v>
      </c>
      <c r="F954" s="4">
        <v>0</v>
      </c>
      <c r="G954" s="5">
        <v>0</v>
      </c>
      <c r="H954" s="4">
        <v>0</v>
      </c>
    </row>
    <row r="955" spans="1:8" x14ac:dyDescent="0.2">
      <c r="A955" s="2" t="s">
        <v>69</v>
      </c>
      <c r="B955" s="4">
        <v>15</v>
      </c>
      <c r="C955" s="5">
        <v>6.61</v>
      </c>
      <c r="D955" s="4">
        <v>4</v>
      </c>
      <c r="E955" s="5">
        <v>2.82</v>
      </c>
      <c r="F955" s="4">
        <v>11</v>
      </c>
      <c r="G955" s="5">
        <v>13.58</v>
      </c>
      <c r="H955" s="4">
        <v>0</v>
      </c>
    </row>
    <row r="956" spans="1:8" x14ac:dyDescent="0.2">
      <c r="A956" s="2" t="s">
        <v>70</v>
      </c>
      <c r="B956" s="4">
        <v>7</v>
      </c>
      <c r="C956" s="5">
        <v>3.08</v>
      </c>
      <c r="D956" s="4">
        <v>2</v>
      </c>
      <c r="E956" s="5">
        <v>1.41</v>
      </c>
      <c r="F956" s="4">
        <v>5</v>
      </c>
      <c r="G956" s="5">
        <v>6.17</v>
      </c>
      <c r="H956" s="4">
        <v>0</v>
      </c>
    </row>
    <row r="957" spans="1:8" x14ac:dyDescent="0.2">
      <c r="A957" s="2" t="s">
        <v>71</v>
      </c>
      <c r="B957" s="4">
        <v>50</v>
      </c>
      <c r="C957" s="5">
        <v>22.03</v>
      </c>
      <c r="D957" s="4">
        <v>39</v>
      </c>
      <c r="E957" s="5">
        <v>27.46</v>
      </c>
      <c r="F957" s="4">
        <v>11</v>
      </c>
      <c r="G957" s="5">
        <v>13.58</v>
      </c>
      <c r="H957" s="4">
        <v>0</v>
      </c>
    </row>
    <row r="958" spans="1:8" x14ac:dyDescent="0.2">
      <c r="A958" s="2" t="s">
        <v>72</v>
      </c>
      <c r="B958" s="4">
        <v>34</v>
      </c>
      <c r="C958" s="5">
        <v>14.98</v>
      </c>
      <c r="D958" s="4">
        <v>33</v>
      </c>
      <c r="E958" s="5">
        <v>23.24</v>
      </c>
      <c r="F958" s="4">
        <v>0</v>
      </c>
      <c r="G958" s="5">
        <v>0</v>
      </c>
      <c r="H958" s="4">
        <v>0</v>
      </c>
    </row>
    <row r="959" spans="1:8" x14ac:dyDescent="0.2">
      <c r="A959" s="2" t="s">
        <v>73</v>
      </c>
      <c r="B959" s="4">
        <v>6</v>
      </c>
      <c r="C959" s="5">
        <v>2.64</v>
      </c>
      <c r="D959" s="4">
        <v>2</v>
      </c>
      <c r="E959" s="5">
        <v>1.41</v>
      </c>
      <c r="F959" s="4">
        <v>2</v>
      </c>
      <c r="G959" s="5">
        <v>2.4700000000000002</v>
      </c>
      <c r="H959" s="4">
        <v>0</v>
      </c>
    </row>
    <row r="960" spans="1:8" x14ac:dyDescent="0.2">
      <c r="A960" s="2" t="s">
        <v>74</v>
      </c>
      <c r="B960" s="4">
        <v>7</v>
      </c>
      <c r="C960" s="5">
        <v>3.08</v>
      </c>
      <c r="D960" s="4">
        <v>6</v>
      </c>
      <c r="E960" s="5">
        <v>4.2300000000000004</v>
      </c>
      <c r="F960" s="4">
        <v>1</v>
      </c>
      <c r="G960" s="5">
        <v>1.23</v>
      </c>
      <c r="H960" s="4">
        <v>0</v>
      </c>
    </row>
    <row r="961" spans="1:8" x14ac:dyDescent="0.2">
      <c r="A961" s="2" t="s">
        <v>75</v>
      </c>
      <c r="B961" s="4">
        <v>6</v>
      </c>
      <c r="C961" s="5">
        <v>2.64</v>
      </c>
      <c r="D961" s="4">
        <v>4</v>
      </c>
      <c r="E961" s="5">
        <v>2.82</v>
      </c>
      <c r="F961" s="4">
        <v>2</v>
      </c>
      <c r="G961" s="5">
        <v>2.4700000000000002</v>
      </c>
      <c r="H961" s="4">
        <v>0</v>
      </c>
    </row>
    <row r="962" spans="1:8" x14ac:dyDescent="0.2">
      <c r="A962" s="1" t="s">
        <v>60</v>
      </c>
      <c r="B962" s="4">
        <v>238</v>
      </c>
      <c r="C962" s="5">
        <v>100</v>
      </c>
      <c r="D962" s="4">
        <v>149</v>
      </c>
      <c r="E962" s="5">
        <v>99.980000000000032</v>
      </c>
      <c r="F962" s="4">
        <v>83</v>
      </c>
      <c r="G962" s="5">
        <v>99.980000000000018</v>
      </c>
      <c r="H962" s="4">
        <v>2</v>
      </c>
    </row>
    <row r="963" spans="1:8" x14ac:dyDescent="0.2">
      <c r="A963" s="2" t="s">
        <v>61</v>
      </c>
      <c r="B963" s="4">
        <v>2</v>
      </c>
      <c r="C963" s="5">
        <v>0.84</v>
      </c>
      <c r="D963" s="4">
        <v>0</v>
      </c>
      <c r="E963" s="5">
        <v>0</v>
      </c>
      <c r="F963" s="4">
        <v>2</v>
      </c>
      <c r="G963" s="5">
        <v>2.41</v>
      </c>
      <c r="H963" s="4">
        <v>0</v>
      </c>
    </row>
    <row r="964" spans="1:8" x14ac:dyDescent="0.2">
      <c r="A964" s="2" t="s">
        <v>62</v>
      </c>
      <c r="B964" s="4">
        <v>40</v>
      </c>
      <c r="C964" s="5">
        <v>16.809999999999999</v>
      </c>
      <c r="D964" s="4">
        <v>23</v>
      </c>
      <c r="E964" s="5">
        <v>15.44</v>
      </c>
      <c r="F964" s="4">
        <v>17</v>
      </c>
      <c r="G964" s="5">
        <v>20.48</v>
      </c>
      <c r="H964" s="4">
        <v>0</v>
      </c>
    </row>
    <row r="965" spans="1:8" x14ac:dyDescent="0.2">
      <c r="A965" s="2" t="s">
        <v>63</v>
      </c>
      <c r="B965" s="4">
        <v>11</v>
      </c>
      <c r="C965" s="5">
        <v>4.62</v>
      </c>
      <c r="D965" s="4">
        <v>4</v>
      </c>
      <c r="E965" s="5">
        <v>2.68</v>
      </c>
      <c r="F965" s="4">
        <v>7</v>
      </c>
      <c r="G965" s="5">
        <v>8.43</v>
      </c>
      <c r="H965" s="4">
        <v>0</v>
      </c>
    </row>
    <row r="966" spans="1:8" x14ac:dyDescent="0.2">
      <c r="A966" s="2" t="s">
        <v>64</v>
      </c>
      <c r="B966" s="4">
        <v>1</v>
      </c>
      <c r="C966" s="5">
        <v>0.42</v>
      </c>
      <c r="D966" s="4">
        <v>0</v>
      </c>
      <c r="E966" s="5">
        <v>0</v>
      </c>
      <c r="F966" s="4">
        <v>0</v>
      </c>
      <c r="G966" s="5">
        <v>0</v>
      </c>
      <c r="H966" s="4">
        <v>0</v>
      </c>
    </row>
    <row r="967" spans="1:8" x14ac:dyDescent="0.2">
      <c r="A967" s="2" t="s">
        <v>65</v>
      </c>
      <c r="B967" s="4">
        <v>0</v>
      </c>
      <c r="C967" s="5">
        <v>0</v>
      </c>
      <c r="D967" s="4">
        <v>0</v>
      </c>
      <c r="E967" s="5">
        <v>0</v>
      </c>
      <c r="F967" s="4">
        <v>0</v>
      </c>
      <c r="G967" s="5">
        <v>0</v>
      </c>
      <c r="H967" s="4">
        <v>0</v>
      </c>
    </row>
    <row r="968" spans="1:8" x14ac:dyDescent="0.2">
      <c r="A968" s="2" t="s">
        <v>66</v>
      </c>
      <c r="B968" s="4">
        <v>4</v>
      </c>
      <c r="C968" s="5">
        <v>1.68</v>
      </c>
      <c r="D968" s="4">
        <v>0</v>
      </c>
      <c r="E968" s="5">
        <v>0</v>
      </c>
      <c r="F968" s="4">
        <v>2</v>
      </c>
      <c r="G968" s="5">
        <v>2.41</v>
      </c>
      <c r="H968" s="4">
        <v>2</v>
      </c>
    </row>
    <row r="969" spans="1:8" x14ac:dyDescent="0.2">
      <c r="A969" s="2" t="s">
        <v>67</v>
      </c>
      <c r="B969" s="4">
        <v>66</v>
      </c>
      <c r="C969" s="5">
        <v>27.73</v>
      </c>
      <c r="D969" s="4">
        <v>39</v>
      </c>
      <c r="E969" s="5">
        <v>26.17</v>
      </c>
      <c r="F969" s="4">
        <v>27</v>
      </c>
      <c r="G969" s="5">
        <v>32.53</v>
      </c>
      <c r="H969" s="4">
        <v>0</v>
      </c>
    </row>
    <row r="970" spans="1:8" x14ac:dyDescent="0.2">
      <c r="A970" s="2" t="s">
        <v>68</v>
      </c>
      <c r="B970" s="4">
        <v>1</v>
      </c>
      <c r="C970" s="5">
        <v>0.42</v>
      </c>
      <c r="D970" s="4">
        <v>0</v>
      </c>
      <c r="E970" s="5">
        <v>0</v>
      </c>
      <c r="F970" s="4">
        <v>1</v>
      </c>
      <c r="G970" s="5">
        <v>1.2</v>
      </c>
      <c r="H970" s="4">
        <v>0</v>
      </c>
    </row>
    <row r="971" spans="1:8" x14ac:dyDescent="0.2">
      <c r="A971" s="2" t="s">
        <v>69</v>
      </c>
      <c r="B971" s="4">
        <v>3</v>
      </c>
      <c r="C971" s="5">
        <v>1.26</v>
      </c>
      <c r="D971" s="4">
        <v>0</v>
      </c>
      <c r="E971" s="5">
        <v>0</v>
      </c>
      <c r="F971" s="4">
        <v>3</v>
      </c>
      <c r="G971" s="5">
        <v>3.61</v>
      </c>
      <c r="H971" s="4">
        <v>0</v>
      </c>
    </row>
    <row r="972" spans="1:8" x14ac:dyDescent="0.2">
      <c r="A972" s="2" t="s">
        <v>70</v>
      </c>
      <c r="B972" s="4">
        <v>4</v>
      </c>
      <c r="C972" s="5">
        <v>1.68</v>
      </c>
      <c r="D972" s="4">
        <v>3</v>
      </c>
      <c r="E972" s="5">
        <v>2.0099999999999998</v>
      </c>
      <c r="F972" s="4">
        <v>1</v>
      </c>
      <c r="G972" s="5">
        <v>1.2</v>
      </c>
      <c r="H972" s="4">
        <v>0</v>
      </c>
    </row>
    <row r="973" spans="1:8" x14ac:dyDescent="0.2">
      <c r="A973" s="2" t="s">
        <v>71</v>
      </c>
      <c r="B973" s="4">
        <v>49</v>
      </c>
      <c r="C973" s="5">
        <v>20.59</v>
      </c>
      <c r="D973" s="4">
        <v>42</v>
      </c>
      <c r="E973" s="5">
        <v>28.19</v>
      </c>
      <c r="F973" s="4">
        <v>6</v>
      </c>
      <c r="G973" s="5">
        <v>7.23</v>
      </c>
      <c r="H973" s="4">
        <v>0</v>
      </c>
    </row>
    <row r="974" spans="1:8" x14ac:dyDescent="0.2">
      <c r="A974" s="2" t="s">
        <v>72</v>
      </c>
      <c r="B974" s="4">
        <v>30</v>
      </c>
      <c r="C974" s="5">
        <v>12.61</v>
      </c>
      <c r="D974" s="4">
        <v>26</v>
      </c>
      <c r="E974" s="5">
        <v>17.45</v>
      </c>
      <c r="F974" s="4">
        <v>4</v>
      </c>
      <c r="G974" s="5">
        <v>4.82</v>
      </c>
      <c r="H974" s="4">
        <v>0</v>
      </c>
    </row>
    <row r="975" spans="1:8" x14ac:dyDescent="0.2">
      <c r="A975" s="2" t="s">
        <v>73</v>
      </c>
      <c r="B975" s="4">
        <v>6</v>
      </c>
      <c r="C975" s="5">
        <v>2.52</v>
      </c>
      <c r="D975" s="4">
        <v>4</v>
      </c>
      <c r="E975" s="5">
        <v>2.68</v>
      </c>
      <c r="F975" s="4">
        <v>0</v>
      </c>
      <c r="G975" s="5">
        <v>0</v>
      </c>
      <c r="H975" s="4">
        <v>0</v>
      </c>
    </row>
    <row r="976" spans="1:8" x14ac:dyDescent="0.2">
      <c r="A976" s="2" t="s">
        <v>74</v>
      </c>
      <c r="B976" s="4">
        <v>9</v>
      </c>
      <c r="C976" s="5">
        <v>3.78</v>
      </c>
      <c r="D976" s="4">
        <v>4</v>
      </c>
      <c r="E976" s="5">
        <v>2.68</v>
      </c>
      <c r="F976" s="4">
        <v>5</v>
      </c>
      <c r="G976" s="5">
        <v>6.02</v>
      </c>
      <c r="H976" s="4">
        <v>0</v>
      </c>
    </row>
    <row r="977" spans="1:8" x14ac:dyDescent="0.2">
      <c r="A977" s="2" t="s">
        <v>75</v>
      </c>
      <c r="B977" s="4">
        <v>12</v>
      </c>
      <c r="C977" s="5">
        <v>5.04</v>
      </c>
      <c r="D977" s="4">
        <v>4</v>
      </c>
      <c r="E977" s="5">
        <v>2.68</v>
      </c>
      <c r="F977" s="4">
        <v>8</v>
      </c>
      <c r="G977" s="5">
        <v>9.64</v>
      </c>
      <c r="H97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D36D6-EC8F-44DB-9158-BFAEB7BBAFCB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266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0.11</v>
      </c>
      <c r="I5" s="12">
        <v>0</v>
      </c>
    </row>
    <row r="6" spans="2:9" ht="15" customHeight="1" x14ac:dyDescent="0.2">
      <c r="B6" t="s">
        <v>62</v>
      </c>
      <c r="C6" s="12">
        <v>261</v>
      </c>
      <c r="D6" s="8">
        <v>14.34</v>
      </c>
      <c r="E6" s="12">
        <v>68</v>
      </c>
      <c r="F6" s="8">
        <v>7.4</v>
      </c>
      <c r="G6" s="12">
        <v>192</v>
      </c>
      <c r="H6" s="8">
        <v>21.55</v>
      </c>
      <c r="I6" s="12">
        <v>1</v>
      </c>
    </row>
    <row r="7" spans="2:9" ht="15" customHeight="1" x14ac:dyDescent="0.2">
      <c r="B7" t="s">
        <v>63</v>
      </c>
      <c r="C7" s="12">
        <v>91</v>
      </c>
      <c r="D7" s="8">
        <v>5</v>
      </c>
      <c r="E7" s="12">
        <v>23</v>
      </c>
      <c r="F7" s="8">
        <v>2.5</v>
      </c>
      <c r="G7" s="12">
        <v>68</v>
      </c>
      <c r="H7" s="8">
        <v>7.63</v>
      </c>
      <c r="I7" s="12">
        <v>0</v>
      </c>
    </row>
    <row r="8" spans="2:9" ht="15" customHeight="1" x14ac:dyDescent="0.2">
      <c r="B8" t="s">
        <v>64</v>
      </c>
      <c r="C8" s="12">
        <v>7</v>
      </c>
      <c r="D8" s="8">
        <v>0.38</v>
      </c>
      <c r="E8" s="12">
        <v>0</v>
      </c>
      <c r="F8" s="8">
        <v>0</v>
      </c>
      <c r="G8" s="12">
        <v>6</v>
      </c>
      <c r="H8" s="8">
        <v>0.67</v>
      </c>
      <c r="I8" s="12">
        <v>0</v>
      </c>
    </row>
    <row r="9" spans="2:9" ht="15" customHeight="1" x14ac:dyDescent="0.2">
      <c r="B9" t="s">
        <v>65</v>
      </c>
      <c r="C9" s="12">
        <v>18</v>
      </c>
      <c r="D9" s="8">
        <v>0.99</v>
      </c>
      <c r="E9" s="12">
        <v>1</v>
      </c>
      <c r="F9" s="8">
        <v>0.11</v>
      </c>
      <c r="G9" s="12">
        <v>17</v>
      </c>
      <c r="H9" s="8">
        <v>1.91</v>
      </c>
      <c r="I9" s="12">
        <v>0</v>
      </c>
    </row>
    <row r="10" spans="2:9" ht="15" customHeight="1" x14ac:dyDescent="0.2">
      <c r="B10" t="s">
        <v>66</v>
      </c>
      <c r="C10" s="12">
        <v>10</v>
      </c>
      <c r="D10" s="8">
        <v>0.55000000000000004</v>
      </c>
      <c r="E10" s="12">
        <v>3</v>
      </c>
      <c r="F10" s="8">
        <v>0.33</v>
      </c>
      <c r="G10" s="12">
        <v>7</v>
      </c>
      <c r="H10" s="8">
        <v>0.79</v>
      </c>
      <c r="I10" s="12">
        <v>0</v>
      </c>
    </row>
    <row r="11" spans="2:9" ht="15" customHeight="1" x14ac:dyDescent="0.2">
      <c r="B11" t="s">
        <v>67</v>
      </c>
      <c r="C11" s="12">
        <v>411</v>
      </c>
      <c r="D11" s="8">
        <v>22.58</v>
      </c>
      <c r="E11" s="12">
        <v>181</v>
      </c>
      <c r="F11" s="8">
        <v>19.7</v>
      </c>
      <c r="G11" s="12">
        <v>230</v>
      </c>
      <c r="H11" s="8">
        <v>25.81</v>
      </c>
      <c r="I11" s="12">
        <v>0</v>
      </c>
    </row>
    <row r="12" spans="2:9" ht="15" customHeight="1" x14ac:dyDescent="0.2">
      <c r="B12" t="s">
        <v>68</v>
      </c>
      <c r="C12" s="12">
        <v>20</v>
      </c>
      <c r="D12" s="8">
        <v>1.1000000000000001</v>
      </c>
      <c r="E12" s="12">
        <v>4</v>
      </c>
      <c r="F12" s="8">
        <v>0.44</v>
      </c>
      <c r="G12" s="12">
        <v>16</v>
      </c>
      <c r="H12" s="8">
        <v>1.8</v>
      </c>
      <c r="I12" s="12">
        <v>0</v>
      </c>
    </row>
    <row r="13" spans="2:9" ht="15" customHeight="1" x14ac:dyDescent="0.2">
      <c r="B13" t="s">
        <v>69</v>
      </c>
      <c r="C13" s="12">
        <v>142</v>
      </c>
      <c r="D13" s="8">
        <v>7.8</v>
      </c>
      <c r="E13" s="12">
        <v>7</v>
      </c>
      <c r="F13" s="8">
        <v>0.76</v>
      </c>
      <c r="G13" s="12">
        <v>135</v>
      </c>
      <c r="H13" s="8">
        <v>15.15</v>
      </c>
      <c r="I13" s="12">
        <v>0</v>
      </c>
    </row>
    <row r="14" spans="2:9" ht="15" customHeight="1" x14ac:dyDescent="0.2">
      <c r="B14" t="s">
        <v>70</v>
      </c>
      <c r="C14" s="12">
        <v>85</v>
      </c>
      <c r="D14" s="8">
        <v>4.67</v>
      </c>
      <c r="E14" s="12">
        <v>39</v>
      </c>
      <c r="F14" s="8">
        <v>4.24</v>
      </c>
      <c r="G14" s="12">
        <v>45</v>
      </c>
      <c r="H14" s="8">
        <v>5.05</v>
      </c>
      <c r="I14" s="12">
        <v>1</v>
      </c>
    </row>
    <row r="15" spans="2:9" ht="15" customHeight="1" x14ac:dyDescent="0.2">
      <c r="B15" t="s">
        <v>71</v>
      </c>
      <c r="C15" s="12">
        <v>242</v>
      </c>
      <c r="D15" s="8">
        <v>13.3</v>
      </c>
      <c r="E15" s="12">
        <v>203</v>
      </c>
      <c r="F15" s="8">
        <v>22.09</v>
      </c>
      <c r="G15" s="12">
        <v>39</v>
      </c>
      <c r="H15" s="8">
        <v>4.38</v>
      </c>
      <c r="I15" s="12">
        <v>0</v>
      </c>
    </row>
    <row r="16" spans="2:9" ht="15" customHeight="1" x14ac:dyDescent="0.2">
      <c r="B16" t="s">
        <v>72</v>
      </c>
      <c r="C16" s="12">
        <v>311</v>
      </c>
      <c r="D16" s="8">
        <v>17.09</v>
      </c>
      <c r="E16" s="12">
        <v>252</v>
      </c>
      <c r="F16" s="8">
        <v>27.42</v>
      </c>
      <c r="G16" s="12">
        <v>58</v>
      </c>
      <c r="H16" s="8">
        <v>6.51</v>
      </c>
      <c r="I16" s="12">
        <v>0</v>
      </c>
    </row>
    <row r="17" spans="2:9" ht="15" customHeight="1" x14ac:dyDescent="0.2">
      <c r="B17" t="s">
        <v>73</v>
      </c>
      <c r="C17" s="12">
        <v>58</v>
      </c>
      <c r="D17" s="8">
        <v>3.19</v>
      </c>
      <c r="E17" s="12">
        <v>35</v>
      </c>
      <c r="F17" s="8">
        <v>3.81</v>
      </c>
      <c r="G17" s="12">
        <v>18</v>
      </c>
      <c r="H17" s="8">
        <v>2.02</v>
      </c>
      <c r="I17" s="12">
        <v>0</v>
      </c>
    </row>
    <row r="18" spans="2:9" ht="15" customHeight="1" x14ac:dyDescent="0.2">
      <c r="B18" t="s">
        <v>74</v>
      </c>
      <c r="C18" s="12">
        <v>100</v>
      </c>
      <c r="D18" s="8">
        <v>5.49</v>
      </c>
      <c r="E18" s="12">
        <v>74</v>
      </c>
      <c r="F18" s="8">
        <v>8.0500000000000007</v>
      </c>
      <c r="G18" s="12">
        <v>25</v>
      </c>
      <c r="H18" s="8">
        <v>2.81</v>
      </c>
      <c r="I18" s="12">
        <v>1</v>
      </c>
    </row>
    <row r="19" spans="2:9" ht="15" customHeight="1" x14ac:dyDescent="0.2">
      <c r="B19" t="s">
        <v>75</v>
      </c>
      <c r="C19" s="12">
        <v>63</v>
      </c>
      <c r="D19" s="8">
        <v>3.46</v>
      </c>
      <c r="E19" s="12">
        <v>29</v>
      </c>
      <c r="F19" s="8">
        <v>3.16</v>
      </c>
      <c r="G19" s="12">
        <v>34</v>
      </c>
      <c r="H19" s="8">
        <v>3.82</v>
      </c>
      <c r="I19" s="12">
        <v>0</v>
      </c>
    </row>
    <row r="20" spans="2:9" ht="15" customHeight="1" x14ac:dyDescent="0.2">
      <c r="B20" s="9" t="s">
        <v>248</v>
      </c>
      <c r="C20" s="12">
        <f>SUM(LTBL_12210[総数／事業所数])</f>
        <v>1820</v>
      </c>
      <c r="E20" s="12">
        <f>SUBTOTAL(109,LTBL_12210[個人／事業所数])</f>
        <v>919</v>
      </c>
      <c r="G20" s="12">
        <f>SUBTOTAL(109,LTBL_12210[法人／事業所数])</f>
        <v>891</v>
      </c>
      <c r="I20" s="12">
        <f>SUBTOTAL(109,LTBL_12210[法人以外の団体／事業所数])</f>
        <v>3</v>
      </c>
    </row>
    <row r="21" spans="2:9" ht="15" customHeight="1" x14ac:dyDescent="0.2">
      <c r="E21" s="11">
        <f>LTBL_12210[[#Totals],[個人／事業所数]]/LTBL_12210[[#Totals],[総数／事業所数]]</f>
        <v>0.50494505494505493</v>
      </c>
      <c r="G21" s="11">
        <f>LTBL_12210[[#Totals],[法人／事業所数]]/LTBL_12210[[#Totals],[総数／事業所数]]</f>
        <v>0.48956043956043954</v>
      </c>
      <c r="I21" s="11">
        <f>LTBL_12210[[#Totals],[法人以外の団体／事業所数]]/LTBL_12210[[#Totals],[総数／事業所数]]</f>
        <v>1.6483516483516484E-3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268</v>
      </c>
      <c r="D24" s="8">
        <v>14.73</v>
      </c>
      <c r="E24" s="12">
        <v>229</v>
      </c>
      <c r="F24" s="8">
        <v>24.92</v>
      </c>
      <c r="G24" s="12">
        <v>39</v>
      </c>
      <c r="H24" s="8">
        <v>4.38</v>
      </c>
      <c r="I24" s="12">
        <v>0</v>
      </c>
    </row>
    <row r="25" spans="2:9" ht="15" customHeight="1" x14ac:dyDescent="0.2">
      <c r="B25" t="s">
        <v>97</v>
      </c>
      <c r="C25" s="12">
        <v>226</v>
      </c>
      <c r="D25" s="8">
        <v>12.42</v>
      </c>
      <c r="E25" s="12">
        <v>193</v>
      </c>
      <c r="F25" s="8">
        <v>21</v>
      </c>
      <c r="G25" s="12">
        <v>33</v>
      </c>
      <c r="H25" s="8">
        <v>3.7</v>
      </c>
      <c r="I25" s="12">
        <v>0</v>
      </c>
    </row>
    <row r="26" spans="2:9" ht="15" customHeight="1" x14ac:dyDescent="0.2">
      <c r="B26" t="s">
        <v>92</v>
      </c>
      <c r="C26" s="12">
        <v>132</v>
      </c>
      <c r="D26" s="8">
        <v>7.25</v>
      </c>
      <c r="E26" s="12">
        <v>55</v>
      </c>
      <c r="F26" s="8">
        <v>5.98</v>
      </c>
      <c r="G26" s="12">
        <v>77</v>
      </c>
      <c r="H26" s="8">
        <v>8.64</v>
      </c>
      <c r="I26" s="12">
        <v>0</v>
      </c>
    </row>
    <row r="27" spans="2:9" ht="15" customHeight="1" x14ac:dyDescent="0.2">
      <c r="B27" t="s">
        <v>84</v>
      </c>
      <c r="C27" s="12">
        <v>106</v>
      </c>
      <c r="D27" s="8">
        <v>5.82</v>
      </c>
      <c r="E27" s="12">
        <v>26</v>
      </c>
      <c r="F27" s="8">
        <v>2.83</v>
      </c>
      <c r="G27" s="12">
        <v>79</v>
      </c>
      <c r="H27" s="8">
        <v>8.8699999999999992</v>
      </c>
      <c r="I27" s="12">
        <v>1</v>
      </c>
    </row>
    <row r="28" spans="2:9" ht="15" customHeight="1" x14ac:dyDescent="0.2">
      <c r="B28" t="s">
        <v>101</v>
      </c>
      <c r="C28" s="12">
        <v>84</v>
      </c>
      <c r="D28" s="8">
        <v>4.62</v>
      </c>
      <c r="E28" s="12">
        <v>74</v>
      </c>
      <c r="F28" s="8">
        <v>8.0500000000000007</v>
      </c>
      <c r="G28" s="12">
        <v>10</v>
      </c>
      <c r="H28" s="8">
        <v>1.1200000000000001</v>
      </c>
      <c r="I28" s="12">
        <v>0</v>
      </c>
    </row>
    <row r="29" spans="2:9" ht="15" customHeight="1" x14ac:dyDescent="0.2">
      <c r="B29" t="s">
        <v>94</v>
      </c>
      <c r="C29" s="12">
        <v>81</v>
      </c>
      <c r="D29" s="8">
        <v>4.45</v>
      </c>
      <c r="E29" s="12">
        <v>4</v>
      </c>
      <c r="F29" s="8">
        <v>0.44</v>
      </c>
      <c r="G29" s="12">
        <v>77</v>
      </c>
      <c r="H29" s="8">
        <v>8.64</v>
      </c>
      <c r="I29" s="12">
        <v>0</v>
      </c>
    </row>
    <row r="30" spans="2:9" ht="15" customHeight="1" x14ac:dyDescent="0.2">
      <c r="B30" t="s">
        <v>85</v>
      </c>
      <c r="C30" s="12">
        <v>79</v>
      </c>
      <c r="D30" s="8">
        <v>4.34</v>
      </c>
      <c r="E30" s="12">
        <v>29</v>
      </c>
      <c r="F30" s="8">
        <v>3.16</v>
      </c>
      <c r="G30" s="12">
        <v>50</v>
      </c>
      <c r="H30" s="8">
        <v>5.61</v>
      </c>
      <c r="I30" s="12">
        <v>0</v>
      </c>
    </row>
    <row r="31" spans="2:9" ht="15" customHeight="1" x14ac:dyDescent="0.2">
      <c r="B31" t="s">
        <v>86</v>
      </c>
      <c r="C31" s="12">
        <v>76</v>
      </c>
      <c r="D31" s="8">
        <v>4.18</v>
      </c>
      <c r="E31" s="12">
        <v>13</v>
      </c>
      <c r="F31" s="8">
        <v>1.41</v>
      </c>
      <c r="G31" s="12">
        <v>63</v>
      </c>
      <c r="H31" s="8">
        <v>7.07</v>
      </c>
      <c r="I31" s="12">
        <v>0</v>
      </c>
    </row>
    <row r="32" spans="2:9" ht="15" customHeight="1" x14ac:dyDescent="0.2">
      <c r="B32" t="s">
        <v>90</v>
      </c>
      <c r="C32" s="12">
        <v>76</v>
      </c>
      <c r="D32" s="8">
        <v>4.18</v>
      </c>
      <c r="E32" s="12">
        <v>53</v>
      </c>
      <c r="F32" s="8">
        <v>5.77</v>
      </c>
      <c r="G32" s="12">
        <v>23</v>
      </c>
      <c r="H32" s="8">
        <v>2.58</v>
      </c>
      <c r="I32" s="12">
        <v>0</v>
      </c>
    </row>
    <row r="33" spans="2:9" ht="15" customHeight="1" x14ac:dyDescent="0.2">
      <c r="B33" t="s">
        <v>91</v>
      </c>
      <c r="C33" s="12">
        <v>63</v>
      </c>
      <c r="D33" s="8">
        <v>3.46</v>
      </c>
      <c r="E33" s="12">
        <v>28</v>
      </c>
      <c r="F33" s="8">
        <v>3.05</v>
      </c>
      <c r="G33" s="12">
        <v>35</v>
      </c>
      <c r="H33" s="8">
        <v>3.93</v>
      </c>
      <c r="I33" s="12">
        <v>0</v>
      </c>
    </row>
    <row r="34" spans="2:9" ht="15" customHeight="1" x14ac:dyDescent="0.2">
      <c r="B34" t="s">
        <v>100</v>
      </c>
      <c r="C34" s="12">
        <v>58</v>
      </c>
      <c r="D34" s="8">
        <v>3.19</v>
      </c>
      <c r="E34" s="12">
        <v>35</v>
      </c>
      <c r="F34" s="8">
        <v>3.81</v>
      </c>
      <c r="G34" s="12">
        <v>18</v>
      </c>
      <c r="H34" s="8">
        <v>2.02</v>
      </c>
      <c r="I34" s="12">
        <v>0</v>
      </c>
    </row>
    <row r="35" spans="2:9" ht="15" customHeight="1" x14ac:dyDescent="0.2">
      <c r="B35" t="s">
        <v>93</v>
      </c>
      <c r="C35" s="12">
        <v>56</v>
      </c>
      <c r="D35" s="8">
        <v>3.08</v>
      </c>
      <c r="E35" s="12">
        <v>2</v>
      </c>
      <c r="F35" s="8">
        <v>0.22</v>
      </c>
      <c r="G35" s="12">
        <v>54</v>
      </c>
      <c r="H35" s="8">
        <v>6.06</v>
      </c>
      <c r="I35" s="12">
        <v>0</v>
      </c>
    </row>
    <row r="36" spans="2:9" ht="15" customHeight="1" x14ac:dyDescent="0.2">
      <c r="B36" t="s">
        <v>89</v>
      </c>
      <c r="C36" s="12">
        <v>47</v>
      </c>
      <c r="D36" s="8">
        <v>2.58</v>
      </c>
      <c r="E36" s="12">
        <v>24</v>
      </c>
      <c r="F36" s="8">
        <v>2.61</v>
      </c>
      <c r="G36" s="12">
        <v>23</v>
      </c>
      <c r="H36" s="8">
        <v>2.58</v>
      </c>
      <c r="I36" s="12">
        <v>0</v>
      </c>
    </row>
    <row r="37" spans="2:9" ht="15" customHeight="1" x14ac:dyDescent="0.2">
      <c r="B37" t="s">
        <v>96</v>
      </c>
      <c r="C37" s="12">
        <v>43</v>
      </c>
      <c r="D37" s="8">
        <v>2.36</v>
      </c>
      <c r="E37" s="12">
        <v>14</v>
      </c>
      <c r="F37" s="8">
        <v>1.52</v>
      </c>
      <c r="G37" s="12">
        <v>28</v>
      </c>
      <c r="H37" s="8">
        <v>3.14</v>
      </c>
      <c r="I37" s="12">
        <v>1</v>
      </c>
    </row>
    <row r="38" spans="2:9" ht="15" customHeight="1" x14ac:dyDescent="0.2">
      <c r="B38" t="s">
        <v>95</v>
      </c>
      <c r="C38" s="12">
        <v>40</v>
      </c>
      <c r="D38" s="8">
        <v>2.2000000000000002</v>
      </c>
      <c r="E38" s="12">
        <v>25</v>
      </c>
      <c r="F38" s="8">
        <v>2.72</v>
      </c>
      <c r="G38" s="12">
        <v>15</v>
      </c>
      <c r="H38" s="8">
        <v>1.68</v>
      </c>
      <c r="I38" s="12">
        <v>0</v>
      </c>
    </row>
    <row r="39" spans="2:9" ht="15" customHeight="1" x14ac:dyDescent="0.2">
      <c r="B39" t="s">
        <v>99</v>
      </c>
      <c r="C39" s="12">
        <v>32</v>
      </c>
      <c r="D39" s="8">
        <v>1.76</v>
      </c>
      <c r="E39" s="12">
        <v>17</v>
      </c>
      <c r="F39" s="8">
        <v>1.85</v>
      </c>
      <c r="G39" s="12">
        <v>15</v>
      </c>
      <c r="H39" s="8">
        <v>1.68</v>
      </c>
      <c r="I39" s="12">
        <v>0</v>
      </c>
    </row>
    <row r="40" spans="2:9" ht="15" customHeight="1" x14ac:dyDescent="0.2">
      <c r="B40" t="s">
        <v>103</v>
      </c>
      <c r="C40" s="12">
        <v>29</v>
      </c>
      <c r="D40" s="8">
        <v>1.59</v>
      </c>
      <c r="E40" s="12">
        <v>24</v>
      </c>
      <c r="F40" s="8">
        <v>2.61</v>
      </c>
      <c r="G40" s="12">
        <v>5</v>
      </c>
      <c r="H40" s="8">
        <v>0.56000000000000005</v>
      </c>
      <c r="I40" s="12">
        <v>0</v>
      </c>
    </row>
    <row r="41" spans="2:9" ht="15" customHeight="1" x14ac:dyDescent="0.2">
      <c r="B41" t="s">
        <v>87</v>
      </c>
      <c r="C41" s="12">
        <v>21</v>
      </c>
      <c r="D41" s="8">
        <v>1.1499999999999999</v>
      </c>
      <c r="E41" s="12">
        <v>4</v>
      </c>
      <c r="F41" s="8">
        <v>0.44</v>
      </c>
      <c r="G41" s="12">
        <v>17</v>
      </c>
      <c r="H41" s="8">
        <v>1.91</v>
      </c>
      <c r="I41" s="12">
        <v>0</v>
      </c>
    </row>
    <row r="42" spans="2:9" ht="15" customHeight="1" x14ac:dyDescent="0.2">
      <c r="B42" t="s">
        <v>104</v>
      </c>
      <c r="C42" s="12">
        <v>20</v>
      </c>
      <c r="D42" s="8">
        <v>1.1000000000000001</v>
      </c>
      <c r="E42" s="12">
        <v>4</v>
      </c>
      <c r="F42" s="8">
        <v>0.44</v>
      </c>
      <c r="G42" s="12">
        <v>16</v>
      </c>
      <c r="H42" s="8">
        <v>1.8</v>
      </c>
      <c r="I42" s="12">
        <v>0</v>
      </c>
    </row>
    <row r="43" spans="2:9" ht="15" customHeight="1" x14ac:dyDescent="0.2">
      <c r="B43" t="s">
        <v>113</v>
      </c>
      <c r="C43" s="12">
        <v>20</v>
      </c>
      <c r="D43" s="8">
        <v>1.1000000000000001</v>
      </c>
      <c r="E43" s="12">
        <v>4</v>
      </c>
      <c r="F43" s="8">
        <v>0.44</v>
      </c>
      <c r="G43" s="12">
        <v>16</v>
      </c>
      <c r="H43" s="8">
        <v>1.8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122</v>
      </c>
      <c r="D47" s="8">
        <v>6.7</v>
      </c>
      <c r="E47" s="12">
        <v>103</v>
      </c>
      <c r="F47" s="8">
        <v>11.21</v>
      </c>
      <c r="G47" s="12">
        <v>19</v>
      </c>
      <c r="H47" s="8">
        <v>2.13</v>
      </c>
      <c r="I47" s="12">
        <v>0</v>
      </c>
    </row>
    <row r="48" spans="2:9" ht="15" customHeight="1" x14ac:dyDescent="0.2">
      <c r="B48" t="s">
        <v>163</v>
      </c>
      <c r="C48" s="12">
        <v>96</v>
      </c>
      <c r="D48" s="8">
        <v>5.27</v>
      </c>
      <c r="E48" s="12">
        <v>90</v>
      </c>
      <c r="F48" s="8">
        <v>9.7899999999999991</v>
      </c>
      <c r="G48" s="12">
        <v>6</v>
      </c>
      <c r="H48" s="8">
        <v>0.67</v>
      </c>
      <c r="I48" s="12">
        <v>0</v>
      </c>
    </row>
    <row r="49" spans="2:9" ht="15" customHeight="1" x14ac:dyDescent="0.2">
      <c r="B49" t="s">
        <v>162</v>
      </c>
      <c r="C49" s="12">
        <v>83</v>
      </c>
      <c r="D49" s="8">
        <v>4.5599999999999996</v>
      </c>
      <c r="E49" s="12">
        <v>79</v>
      </c>
      <c r="F49" s="8">
        <v>8.6</v>
      </c>
      <c r="G49" s="12">
        <v>4</v>
      </c>
      <c r="H49" s="8">
        <v>0.45</v>
      </c>
      <c r="I49" s="12">
        <v>0</v>
      </c>
    </row>
    <row r="50" spans="2:9" ht="15" customHeight="1" x14ac:dyDescent="0.2">
      <c r="B50" t="s">
        <v>161</v>
      </c>
      <c r="C50" s="12">
        <v>57</v>
      </c>
      <c r="D50" s="8">
        <v>3.13</v>
      </c>
      <c r="E50" s="12">
        <v>44</v>
      </c>
      <c r="F50" s="8">
        <v>4.79</v>
      </c>
      <c r="G50" s="12">
        <v>13</v>
      </c>
      <c r="H50" s="8">
        <v>1.46</v>
      </c>
      <c r="I50" s="12">
        <v>0</v>
      </c>
    </row>
    <row r="51" spans="2:9" ht="15" customHeight="1" x14ac:dyDescent="0.2">
      <c r="B51" t="s">
        <v>166</v>
      </c>
      <c r="C51" s="12">
        <v>55</v>
      </c>
      <c r="D51" s="8">
        <v>3.02</v>
      </c>
      <c r="E51" s="12">
        <v>46</v>
      </c>
      <c r="F51" s="8">
        <v>5.01</v>
      </c>
      <c r="G51" s="12">
        <v>9</v>
      </c>
      <c r="H51" s="8">
        <v>1.01</v>
      </c>
      <c r="I51" s="12">
        <v>0</v>
      </c>
    </row>
    <row r="52" spans="2:9" ht="15" customHeight="1" x14ac:dyDescent="0.2">
      <c r="B52" t="s">
        <v>148</v>
      </c>
      <c r="C52" s="12">
        <v>42</v>
      </c>
      <c r="D52" s="8">
        <v>2.31</v>
      </c>
      <c r="E52" s="12">
        <v>6</v>
      </c>
      <c r="F52" s="8">
        <v>0.65</v>
      </c>
      <c r="G52" s="12">
        <v>36</v>
      </c>
      <c r="H52" s="8">
        <v>4.04</v>
      </c>
      <c r="I52" s="12">
        <v>0</v>
      </c>
    </row>
    <row r="53" spans="2:9" ht="15" customHeight="1" x14ac:dyDescent="0.2">
      <c r="B53" t="s">
        <v>158</v>
      </c>
      <c r="C53" s="12">
        <v>41</v>
      </c>
      <c r="D53" s="8">
        <v>2.25</v>
      </c>
      <c r="E53" s="12">
        <v>2</v>
      </c>
      <c r="F53" s="8">
        <v>0.22</v>
      </c>
      <c r="G53" s="12">
        <v>39</v>
      </c>
      <c r="H53" s="8">
        <v>4.38</v>
      </c>
      <c r="I53" s="12">
        <v>0</v>
      </c>
    </row>
    <row r="54" spans="2:9" ht="15" customHeight="1" x14ac:dyDescent="0.2">
      <c r="B54" t="s">
        <v>171</v>
      </c>
      <c r="C54" s="12">
        <v>37</v>
      </c>
      <c r="D54" s="8">
        <v>2.0299999999999998</v>
      </c>
      <c r="E54" s="12">
        <v>2</v>
      </c>
      <c r="F54" s="8">
        <v>0.22</v>
      </c>
      <c r="G54" s="12">
        <v>35</v>
      </c>
      <c r="H54" s="8">
        <v>3.93</v>
      </c>
      <c r="I54" s="12">
        <v>0</v>
      </c>
    </row>
    <row r="55" spans="2:9" ht="15" customHeight="1" x14ac:dyDescent="0.2">
      <c r="B55" t="s">
        <v>153</v>
      </c>
      <c r="C55" s="12">
        <v>36</v>
      </c>
      <c r="D55" s="8">
        <v>1.98</v>
      </c>
      <c r="E55" s="12">
        <v>4</v>
      </c>
      <c r="F55" s="8">
        <v>0.44</v>
      </c>
      <c r="G55" s="12">
        <v>32</v>
      </c>
      <c r="H55" s="8">
        <v>3.59</v>
      </c>
      <c r="I55" s="12">
        <v>0</v>
      </c>
    </row>
    <row r="56" spans="2:9" ht="15" customHeight="1" x14ac:dyDescent="0.2">
      <c r="B56" t="s">
        <v>156</v>
      </c>
      <c r="C56" s="12">
        <v>35</v>
      </c>
      <c r="D56" s="8">
        <v>1.92</v>
      </c>
      <c r="E56" s="12">
        <v>21</v>
      </c>
      <c r="F56" s="8">
        <v>2.29</v>
      </c>
      <c r="G56" s="12">
        <v>14</v>
      </c>
      <c r="H56" s="8">
        <v>1.57</v>
      </c>
      <c r="I56" s="12">
        <v>0</v>
      </c>
    </row>
    <row r="57" spans="2:9" ht="15" customHeight="1" x14ac:dyDescent="0.2">
      <c r="B57" t="s">
        <v>155</v>
      </c>
      <c r="C57" s="12">
        <v>33</v>
      </c>
      <c r="D57" s="8">
        <v>1.81</v>
      </c>
      <c r="E57" s="12">
        <v>12</v>
      </c>
      <c r="F57" s="8">
        <v>1.31</v>
      </c>
      <c r="G57" s="12">
        <v>21</v>
      </c>
      <c r="H57" s="8">
        <v>2.36</v>
      </c>
      <c r="I57" s="12">
        <v>0</v>
      </c>
    </row>
    <row r="58" spans="2:9" ht="15" customHeight="1" x14ac:dyDescent="0.2">
      <c r="B58" t="s">
        <v>152</v>
      </c>
      <c r="C58" s="12">
        <v>30</v>
      </c>
      <c r="D58" s="8">
        <v>1.65</v>
      </c>
      <c r="E58" s="12">
        <v>7</v>
      </c>
      <c r="F58" s="8">
        <v>0.76</v>
      </c>
      <c r="G58" s="12">
        <v>23</v>
      </c>
      <c r="H58" s="8">
        <v>2.58</v>
      </c>
      <c r="I58" s="12">
        <v>0</v>
      </c>
    </row>
    <row r="59" spans="2:9" ht="15" customHeight="1" x14ac:dyDescent="0.2">
      <c r="B59" t="s">
        <v>165</v>
      </c>
      <c r="C59" s="12">
        <v>29</v>
      </c>
      <c r="D59" s="8">
        <v>1.59</v>
      </c>
      <c r="E59" s="12">
        <v>17</v>
      </c>
      <c r="F59" s="8">
        <v>1.85</v>
      </c>
      <c r="G59" s="12">
        <v>12</v>
      </c>
      <c r="H59" s="8">
        <v>1.35</v>
      </c>
      <c r="I59" s="12">
        <v>0</v>
      </c>
    </row>
    <row r="60" spans="2:9" ht="15" customHeight="1" x14ac:dyDescent="0.2">
      <c r="B60" t="s">
        <v>167</v>
      </c>
      <c r="C60" s="12">
        <v>29</v>
      </c>
      <c r="D60" s="8">
        <v>1.59</v>
      </c>
      <c r="E60" s="12">
        <v>24</v>
      </c>
      <c r="F60" s="8">
        <v>2.61</v>
      </c>
      <c r="G60" s="12">
        <v>5</v>
      </c>
      <c r="H60" s="8">
        <v>0.56000000000000005</v>
      </c>
      <c r="I60" s="12">
        <v>0</v>
      </c>
    </row>
    <row r="61" spans="2:9" ht="15" customHeight="1" x14ac:dyDescent="0.2">
      <c r="B61" t="s">
        <v>169</v>
      </c>
      <c r="C61" s="12">
        <v>28</v>
      </c>
      <c r="D61" s="8">
        <v>1.54</v>
      </c>
      <c r="E61" s="12">
        <v>16</v>
      </c>
      <c r="F61" s="8">
        <v>1.74</v>
      </c>
      <c r="G61" s="12">
        <v>12</v>
      </c>
      <c r="H61" s="8">
        <v>1.35</v>
      </c>
      <c r="I61" s="12">
        <v>0</v>
      </c>
    </row>
    <row r="62" spans="2:9" ht="15" customHeight="1" x14ac:dyDescent="0.2">
      <c r="B62" t="s">
        <v>190</v>
      </c>
      <c r="C62" s="12">
        <v>27</v>
      </c>
      <c r="D62" s="8">
        <v>1.48</v>
      </c>
      <c r="E62" s="12">
        <v>23</v>
      </c>
      <c r="F62" s="8">
        <v>2.5</v>
      </c>
      <c r="G62" s="12">
        <v>4</v>
      </c>
      <c r="H62" s="8">
        <v>0.45</v>
      </c>
      <c r="I62" s="12">
        <v>0</v>
      </c>
    </row>
    <row r="63" spans="2:9" ht="15" customHeight="1" x14ac:dyDescent="0.2">
      <c r="B63" t="s">
        <v>154</v>
      </c>
      <c r="C63" s="12">
        <v>27</v>
      </c>
      <c r="D63" s="8">
        <v>1.48</v>
      </c>
      <c r="E63" s="12">
        <v>16</v>
      </c>
      <c r="F63" s="8">
        <v>1.74</v>
      </c>
      <c r="G63" s="12">
        <v>11</v>
      </c>
      <c r="H63" s="8">
        <v>1.23</v>
      </c>
      <c r="I63" s="12">
        <v>0</v>
      </c>
    </row>
    <row r="64" spans="2:9" ht="15" customHeight="1" x14ac:dyDescent="0.2">
      <c r="B64" t="s">
        <v>170</v>
      </c>
      <c r="C64" s="12">
        <v>27</v>
      </c>
      <c r="D64" s="8">
        <v>1.48</v>
      </c>
      <c r="E64" s="12">
        <v>27</v>
      </c>
      <c r="F64" s="8">
        <v>2.94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150</v>
      </c>
      <c r="C65" s="12">
        <v>26</v>
      </c>
      <c r="D65" s="8">
        <v>1.43</v>
      </c>
      <c r="E65" s="12">
        <v>10</v>
      </c>
      <c r="F65" s="8">
        <v>1.0900000000000001</v>
      </c>
      <c r="G65" s="12">
        <v>16</v>
      </c>
      <c r="H65" s="8">
        <v>1.8</v>
      </c>
      <c r="I65" s="12">
        <v>0</v>
      </c>
    </row>
    <row r="66" spans="2:9" ht="15" customHeight="1" x14ac:dyDescent="0.2">
      <c r="B66" t="s">
        <v>177</v>
      </c>
      <c r="C66" s="12">
        <v>24</v>
      </c>
      <c r="D66" s="8">
        <v>1.32</v>
      </c>
      <c r="E66" s="12">
        <v>12</v>
      </c>
      <c r="F66" s="8">
        <v>1.31</v>
      </c>
      <c r="G66" s="12">
        <v>12</v>
      </c>
      <c r="H66" s="8">
        <v>1.35</v>
      </c>
      <c r="I66" s="12">
        <v>0</v>
      </c>
    </row>
    <row r="67" spans="2:9" ht="15" customHeight="1" x14ac:dyDescent="0.2">
      <c r="B67" t="s">
        <v>168</v>
      </c>
      <c r="C67" s="12">
        <v>24</v>
      </c>
      <c r="D67" s="8">
        <v>1.32</v>
      </c>
      <c r="E67" s="12">
        <v>5</v>
      </c>
      <c r="F67" s="8">
        <v>0.54</v>
      </c>
      <c r="G67" s="12">
        <v>19</v>
      </c>
      <c r="H67" s="8">
        <v>2.13</v>
      </c>
      <c r="I67" s="12">
        <v>0</v>
      </c>
    </row>
    <row r="68" spans="2:9" ht="15" customHeight="1" x14ac:dyDescent="0.2">
      <c r="B68" t="s">
        <v>180</v>
      </c>
      <c r="C68" s="12">
        <v>24</v>
      </c>
      <c r="D68" s="8">
        <v>1.32</v>
      </c>
      <c r="E68" s="12">
        <v>18</v>
      </c>
      <c r="F68" s="8">
        <v>1.96</v>
      </c>
      <c r="G68" s="12">
        <v>6</v>
      </c>
      <c r="H68" s="8">
        <v>0.67</v>
      </c>
      <c r="I68" s="12">
        <v>0</v>
      </c>
    </row>
    <row r="70" spans="2:9" ht="15" customHeight="1" x14ac:dyDescent="0.2">
      <c r="B70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591B3-42F9-4D97-BFAF-BB9D834C6C1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267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1</v>
      </c>
      <c r="D5" s="8">
        <v>0.04</v>
      </c>
      <c r="E5" s="12">
        <v>0</v>
      </c>
      <c r="F5" s="8">
        <v>0</v>
      </c>
      <c r="G5" s="12">
        <v>1</v>
      </c>
      <c r="H5" s="8">
        <v>0.06</v>
      </c>
      <c r="I5" s="12">
        <v>0</v>
      </c>
    </row>
    <row r="6" spans="2:9" ht="15" customHeight="1" x14ac:dyDescent="0.2">
      <c r="B6" t="s">
        <v>62</v>
      </c>
      <c r="C6" s="12">
        <v>346</v>
      </c>
      <c r="D6" s="8">
        <v>13.65</v>
      </c>
      <c r="E6" s="12">
        <v>72</v>
      </c>
      <c r="F6" s="8">
        <v>8.02</v>
      </c>
      <c r="G6" s="12">
        <v>274</v>
      </c>
      <c r="H6" s="8">
        <v>17.149999999999999</v>
      </c>
      <c r="I6" s="12">
        <v>0</v>
      </c>
    </row>
    <row r="7" spans="2:9" ht="15" customHeight="1" x14ac:dyDescent="0.2">
      <c r="B7" t="s">
        <v>63</v>
      </c>
      <c r="C7" s="12">
        <v>137</v>
      </c>
      <c r="D7" s="8">
        <v>5.41</v>
      </c>
      <c r="E7" s="12">
        <v>28</v>
      </c>
      <c r="F7" s="8">
        <v>3.12</v>
      </c>
      <c r="G7" s="12">
        <v>109</v>
      </c>
      <c r="H7" s="8">
        <v>6.82</v>
      </c>
      <c r="I7" s="12">
        <v>0</v>
      </c>
    </row>
    <row r="8" spans="2:9" ht="15" customHeight="1" x14ac:dyDescent="0.2">
      <c r="B8" t="s">
        <v>64</v>
      </c>
      <c r="C8" s="12">
        <v>7</v>
      </c>
      <c r="D8" s="8">
        <v>0.28000000000000003</v>
      </c>
      <c r="E8" s="12">
        <v>0</v>
      </c>
      <c r="F8" s="8">
        <v>0</v>
      </c>
      <c r="G8" s="12">
        <v>7</v>
      </c>
      <c r="H8" s="8">
        <v>0.44</v>
      </c>
      <c r="I8" s="12">
        <v>0</v>
      </c>
    </row>
    <row r="9" spans="2:9" ht="15" customHeight="1" x14ac:dyDescent="0.2">
      <c r="B9" t="s">
        <v>65</v>
      </c>
      <c r="C9" s="12">
        <v>24</v>
      </c>
      <c r="D9" s="8">
        <v>0.95</v>
      </c>
      <c r="E9" s="12">
        <v>0</v>
      </c>
      <c r="F9" s="8">
        <v>0</v>
      </c>
      <c r="G9" s="12">
        <v>24</v>
      </c>
      <c r="H9" s="8">
        <v>1.5</v>
      </c>
      <c r="I9" s="12">
        <v>0</v>
      </c>
    </row>
    <row r="10" spans="2:9" ht="15" customHeight="1" x14ac:dyDescent="0.2">
      <c r="B10" t="s">
        <v>66</v>
      </c>
      <c r="C10" s="12">
        <v>109</v>
      </c>
      <c r="D10" s="8">
        <v>4.3</v>
      </c>
      <c r="E10" s="12">
        <v>0</v>
      </c>
      <c r="F10" s="8">
        <v>0</v>
      </c>
      <c r="G10" s="12">
        <v>109</v>
      </c>
      <c r="H10" s="8">
        <v>6.82</v>
      </c>
      <c r="I10" s="12">
        <v>0</v>
      </c>
    </row>
    <row r="11" spans="2:9" ht="15" customHeight="1" x14ac:dyDescent="0.2">
      <c r="B11" t="s">
        <v>67</v>
      </c>
      <c r="C11" s="12">
        <v>589</v>
      </c>
      <c r="D11" s="8">
        <v>23.24</v>
      </c>
      <c r="E11" s="12">
        <v>137</v>
      </c>
      <c r="F11" s="8">
        <v>15.26</v>
      </c>
      <c r="G11" s="12">
        <v>451</v>
      </c>
      <c r="H11" s="8">
        <v>28.22</v>
      </c>
      <c r="I11" s="12">
        <v>1</v>
      </c>
    </row>
    <row r="12" spans="2:9" ht="15" customHeight="1" x14ac:dyDescent="0.2">
      <c r="B12" t="s">
        <v>68</v>
      </c>
      <c r="C12" s="12">
        <v>23</v>
      </c>
      <c r="D12" s="8">
        <v>0.91</v>
      </c>
      <c r="E12" s="12">
        <v>5</v>
      </c>
      <c r="F12" s="8">
        <v>0.56000000000000005</v>
      </c>
      <c r="G12" s="12">
        <v>18</v>
      </c>
      <c r="H12" s="8">
        <v>1.1299999999999999</v>
      </c>
      <c r="I12" s="12">
        <v>0</v>
      </c>
    </row>
    <row r="13" spans="2:9" ht="15" customHeight="1" x14ac:dyDescent="0.2">
      <c r="B13" t="s">
        <v>69</v>
      </c>
      <c r="C13" s="12">
        <v>246</v>
      </c>
      <c r="D13" s="8">
        <v>9.7100000000000009</v>
      </c>
      <c r="E13" s="12">
        <v>38</v>
      </c>
      <c r="F13" s="8">
        <v>4.2300000000000004</v>
      </c>
      <c r="G13" s="12">
        <v>206</v>
      </c>
      <c r="H13" s="8">
        <v>12.89</v>
      </c>
      <c r="I13" s="12">
        <v>2</v>
      </c>
    </row>
    <row r="14" spans="2:9" ht="15" customHeight="1" x14ac:dyDescent="0.2">
      <c r="B14" t="s">
        <v>70</v>
      </c>
      <c r="C14" s="12">
        <v>112</v>
      </c>
      <c r="D14" s="8">
        <v>4.42</v>
      </c>
      <c r="E14" s="12">
        <v>47</v>
      </c>
      <c r="F14" s="8">
        <v>5.23</v>
      </c>
      <c r="G14" s="12">
        <v>65</v>
      </c>
      <c r="H14" s="8">
        <v>4.07</v>
      </c>
      <c r="I14" s="12">
        <v>0</v>
      </c>
    </row>
    <row r="15" spans="2:9" ht="15" customHeight="1" x14ac:dyDescent="0.2">
      <c r="B15" t="s">
        <v>71</v>
      </c>
      <c r="C15" s="12">
        <v>297</v>
      </c>
      <c r="D15" s="8">
        <v>11.72</v>
      </c>
      <c r="E15" s="12">
        <v>194</v>
      </c>
      <c r="F15" s="8">
        <v>21.6</v>
      </c>
      <c r="G15" s="12">
        <v>97</v>
      </c>
      <c r="H15" s="8">
        <v>6.07</v>
      </c>
      <c r="I15" s="12">
        <v>0</v>
      </c>
    </row>
    <row r="16" spans="2:9" ht="15" customHeight="1" x14ac:dyDescent="0.2">
      <c r="B16" t="s">
        <v>72</v>
      </c>
      <c r="C16" s="12">
        <v>332</v>
      </c>
      <c r="D16" s="8">
        <v>13.1</v>
      </c>
      <c r="E16" s="12">
        <v>231</v>
      </c>
      <c r="F16" s="8">
        <v>25.72</v>
      </c>
      <c r="G16" s="12">
        <v>95</v>
      </c>
      <c r="H16" s="8">
        <v>5.94</v>
      </c>
      <c r="I16" s="12">
        <v>0</v>
      </c>
    </row>
    <row r="17" spans="2:9" ht="15" customHeight="1" x14ac:dyDescent="0.2">
      <c r="B17" t="s">
        <v>73</v>
      </c>
      <c r="C17" s="12">
        <v>91</v>
      </c>
      <c r="D17" s="8">
        <v>3.59</v>
      </c>
      <c r="E17" s="12">
        <v>42</v>
      </c>
      <c r="F17" s="8">
        <v>4.68</v>
      </c>
      <c r="G17" s="12">
        <v>34</v>
      </c>
      <c r="H17" s="8">
        <v>2.13</v>
      </c>
      <c r="I17" s="12">
        <v>0</v>
      </c>
    </row>
    <row r="18" spans="2:9" ht="15" customHeight="1" x14ac:dyDescent="0.2">
      <c r="B18" t="s">
        <v>74</v>
      </c>
      <c r="C18" s="12">
        <v>119</v>
      </c>
      <c r="D18" s="8">
        <v>4.7</v>
      </c>
      <c r="E18" s="12">
        <v>78</v>
      </c>
      <c r="F18" s="8">
        <v>8.69</v>
      </c>
      <c r="G18" s="12">
        <v>37</v>
      </c>
      <c r="H18" s="8">
        <v>2.3199999999999998</v>
      </c>
      <c r="I18" s="12">
        <v>0</v>
      </c>
    </row>
    <row r="19" spans="2:9" ht="15" customHeight="1" x14ac:dyDescent="0.2">
      <c r="B19" t="s">
        <v>75</v>
      </c>
      <c r="C19" s="12">
        <v>101</v>
      </c>
      <c r="D19" s="8">
        <v>3.99</v>
      </c>
      <c r="E19" s="12">
        <v>26</v>
      </c>
      <c r="F19" s="8">
        <v>2.9</v>
      </c>
      <c r="G19" s="12">
        <v>71</v>
      </c>
      <c r="H19" s="8">
        <v>4.4400000000000004</v>
      </c>
      <c r="I19" s="12">
        <v>0</v>
      </c>
    </row>
    <row r="20" spans="2:9" ht="15" customHeight="1" x14ac:dyDescent="0.2">
      <c r="B20" s="9" t="s">
        <v>248</v>
      </c>
      <c r="C20" s="12">
        <f>SUM(LTBL_12211[総数／事業所数])</f>
        <v>2534</v>
      </c>
      <c r="E20" s="12">
        <f>SUBTOTAL(109,LTBL_12211[個人／事業所数])</f>
        <v>898</v>
      </c>
      <c r="G20" s="12">
        <f>SUBTOTAL(109,LTBL_12211[法人／事業所数])</f>
        <v>1598</v>
      </c>
      <c r="I20" s="12">
        <f>SUBTOTAL(109,LTBL_12211[法人以外の団体／事業所数])</f>
        <v>3</v>
      </c>
    </row>
    <row r="21" spans="2:9" ht="15" customHeight="1" x14ac:dyDescent="0.2">
      <c r="E21" s="11">
        <f>LTBL_12211[[#Totals],[個人／事業所数]]/LTBL_12211[[#Totals],[総数／事業所数]]</f>
        <v>0.35438042620363064</v>
      </c>
      <c r="G21" s="11">
        <f>LTBL_12211[[#Totals],[法人／事業所数]]/LTBL_12211[[#Totals],[総数／事業所数]]</f>
        <v>0.63062352012628253</v>
      </c>
      <c r="I21" s="11">
        <f>LTBL_12211[[#Totals],[法人以外の団体／事業所数]]/LTBL_12211[[#Totals],[総数／事業所数]]</f>
        <v>1.1838989739542227E-3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97</v>
      </c>
      <c r="C24" s="12">
        <v>257</v>
      </c>
      <c r="D24" s="8">
        <v>10.14</v>
      </c>
      <c r="E24" s="12">
        <v>190</v>
      </c>
      <c r="F24" s="8">
        <v>21.16</v>
      </c>
      <c r="G24" s="12">
        <v>67</v>
      </c>
      <c r="H24" s="8">
        <v>4.1900000000000004</v>
      </c>
      <c r="I24" s="12">
        <v>0</v>
      </c>
    </row>
    <row r="25" spans="2:9" ht="15" customHeight="1" x14ac:dyDescent="0.2">
      <c r="B25" t="s">
        <v>98</v>
      </c>
      <c r="C25" s="12">
        <v>251</v>
      </c>
      <c r="D25" s="8">
        <v>9.91</v>
      </c>
      <c r="E25" s="12">
        <v>201</v>
      </c>
      <c r="F25" s="8">
        <v>22.38</v>
      </c>
      <c r="G25" s="12">
        <v>50</v>
      </c>
      <c r="H25" s="8">
        <v>3.13</v>
      </c>
      <c r="I25" s="12">
        <v>0</v>
      </c>
    </row>
    <row r="26" spans="2:9" ht="15" customHeight="1" x14ac:dyDescent="0.2">
      <c r="B26" t="s">
        <v>94</v>
      </c>
      <c r="C26" s="12">
        <v>194</v>
      </c>
      <c r="D26" s="8">
        <v>7.66</v>
      </c>
      <c r="E26" s="12">
        <v>37</v>
      </c>
      <c r="F26" s="8">
        <v>4.12</v>
      </c>
      <c r="G26" s="12">
        <v>155</v>
      </c>
      <c r="H26" s="8">
        <v>9.6999999999999993</v>
      </c>
      <c r="I26" s="12">
        <v>2</v>
      </c>
    </row>
    <row r="27" spans="2:9" ht="15" customHeight="1" x14ac:dyDescent="0.2">
      <c r="B27" t="s">
        <v>84</v>
      </c>
      <c r="C27" s="12">
        <v>190</v>
      </c>
      <c r="D27" s="8">
        <v>7.5</v>
      </c>
      <c r="E27" s="12">
        <v>32</v>
      </c>
      <c r="F27" s="8">
        <v>3.56</v>
      </c>
      <c r="G27" s="12">
        <v>158</v>
      </c>
      <c r="H27" s="8">
        <v>9.89</v>
      </c>
      <c r="I27" s="12">
        <v>0</v>
      </c>
    </row>
    <row r="28" spans="2:9" ht="15" customHeight="1" x14ac:dyDescent="0.2">
      <c r="B28" t="s">
        <v>92</v>
      </c>
      <c r="C28" s="12">
        <v>161</v>
      </c>
      <c r="D28" s="8">
        <v>6.35</v>
      </c>
      <c r="E28" s="12">
        <v>48</v>
      </c>
      <c r="F28" s="8">
        <v>5.35</v>
      </c>
      <c r="G28" s="12">
        <v>113</v>
      </c>
      <c r="H28" s="8">
        <v>7.07</v>
      </c>
      <c r="I28" s="12">
        <v>0</v>
      </c>
    </row>
    <row r="29" spans="2:9" ht="15" customHeight="1" x14ac:dyDescent="0.2">
      <c r="B29" t="s">
        <v>90</v>
      </c>
      <c r="C29" s="12">
        <v>112</v>
      </c>
      <c r="D29" s="8">
        <v>4.42</v>
      </c>
      <c r="E29" s="12">
        <v>48</v>
      </c>
      <c r="F29" s="8">
        <v>5.35</v>
      </c>
      <c r="G29" s="12">
        <v>63</v>
      </c>
      <c r="H29" s="8">
        <v>3.94</v>
      </c>
      <c r="I29" s="12">
        <v>1</v>
      </c>
    </row>
    <row r="30" spans="2:9" ht="15" customHeight="1" x14ac:dyDescent="0.2">
      <c r="B30" t="s">
        <v>89</v>
      </c>
      <c r="C30" s="12">
        <v>106</v>
      </c>
      <c r="D30" s="8">
        <v>4.18</v>
      </c>
      <c r="E30" s="12">
        <v>16</v>
      </c>
      <c r="F30" s="8">
        <v>1.78</v>
      </c>
      <c r="G30" s="12">
        <v>90</v>
      </c>
      <c r="H30" s="8">
        <v>5.63</v>
      </c>
      <c r="I30" s="12">
        <v>0</v>
      </c>
    </row>
    <row r="31" spans="2:9" ht="15" customHeight="1" x14ac:dyDescent="0.2">
      <c r="B31" t="s">
        <v>100</v>
      </c>
      <c r="C31" s="12">
        <v>91</v>
      </c>
      <c r="D31" s="8">
        <v>3.59</v>
      </c>
      <c r="E31" s="12">
        <v>42</v>
      </c>
      <c r="F31" s="8">
        <v>4.68</v>
      </c>
      <c r="G31" s="12">
        <v>34</v>
      </c>
      <c r="H31" s="8">
        <v>2.13</v>
      </c>
      <c r="I31" s="12">
        <v>0</v>
      </c>
    </row>
    <row r="32" spans="2:9" ht="15" customHeight="1" x14ac:dyDescent="0.2">
      <c r="B32" t="s">
        <v>101</v>
      </c>
      <c r="C32" s="12">
        <v>89</v>
      </c>
      <c r="D32" s="8">
        <v>3.51</v>
      </c>
      <c r="E32" s="12">
        <v>78</v>
      </c>
      <c r="F32" s="8">
        <v>8.69</v>
      </c>
      <c r="G32" s="12">
        <v>11</v>
      </c>
      <c r="H32" s="8">
        <v>0.69</v>
      </c>
      <c r="I32" s="12">
        <v>0</v>
      </c>
    </row>
    <row r="33" spans="2:9" ht="15" customHeight="1" x14ac:dyDescent="0.2">
      <c r="B33" t="s">
        <v>85</v>
      </c>
      <c r="C33" s="12">
        <v>84</v>
      </c>
      <c r="D33" s="8">
        <v>3.31</v>
      </c>
      <c r="E33" s="12">
        <v>29</v>
      </c>
      <c r="F33" s="8">
        <v>3.23</v>
      </c>
      <c r="G33" s="12">
        <v>55</v>
      </c>
      <c r="H33" s="8">
        <v>3.44</v>
      </c>
      <c r="I33" s="12">
        <v>0</v>
      </c>
    </row>
    <row r="34" spans="2:9" ht="15" customHeight="1" x14ac:dyDescent="0.2">
      <c r="B34" t="s">
        <v>86</v>
      </c>
      <c r="C34" s="12">
        <v>72</v>
      </c>
      <c r="D34" s="8">
        <v>2.84</v>
      </c>
      <c r="E34" s="12">
        <v>11</v>
      </c>
      <c r="F34" s="8">
        <v>1.22</v>
      </c>
      <c r="G34" s="12">
        <v>61</v>
      </c>
      <c r="H34" s="8">
        <v>3.82</v>
      </c>
      <c r="I34" s="12">
        <v>0</v>
      </c>
    </row>
    <row r="35" spans="2:9" ht="15" customHeight="1" x14ac:dyDescent="0.2">
      <c r="B35" t="s">
        <v>95</v>
      </c>
      <c r="C35" s="12">
        <v>54</v>
      </c>
      <c r="D35" s="8">
        <v>2.13</v>
      </c>
      <c r="E35" s="12">
        <v>33</v>
      </c>
      <c r="F35" s="8">
        <v>3.67</v>
      </c>
      <c r="G35" s="12">
        <v>21</v>
      </c>
      <c r="H35" s="8">
        <v>1.31</v>
      </c>
      <c r="I35" s="12">
        <v>0</v>
      </c>
    </row>
    <row r="36" spans="2:9" ht="15" customHeight="1" x14ac:dyDescent="0.2">
      <c r="B36" t="s">
        <v>99</v>
      </c>
      <c r="C36" s="12">
        <v>54</v>
      </c>
      <c r="D36" s="8">
        <v>2.13</v>
      </c>
      <c r="E36" s="12">
        <v>24</v>
      </c>
      <c r="F36" s="8">
        <v>2.67</v>
      </c>
      <c r="G36" s="12">
        <v>30</v>
      </c>
      <c r="H36" s="8">
        <v>1.88</v>
      </c>
      <c r="I36" s="12">
        <v>0</v>
      </c>
    </row>
    <row r="37" spans="2:9" ht="15" customHeight="1" x14ac:dyDescent="0.2">
      <c r="B37" t="s">
        <v>96</v>
      </c>
      <c r="C37" s="12">
        <v>51</v>
      </c>
      <c r="D37" s="8">
        <v>2.0099999999999998</v>
      </c>
      <c r="E37" s="12">
        <v>13</v>
      </c>
      <c r="F37" s="8">
        <v>1.45</v>
      </c>
      <c r="G37" s="12">
        <v>38</v>
      </c>
      <c r="H37" s="8">
        <v>2.38</v>
      </c>
      <c r="I37" s="12">
        <v>0</v>
      </c>
    </row>
    <row r="38" spans="2:9" ht="15" customHeight="1" x14ac:dyDescent="0.2">
      <c r="B38" t="s">
        <v>91</v>
      </c>
      <c r="C38" s="12">
        <v>48</v>
      </c>
      <c r="D38" s="8">
        <v>1.89</v>
      </c>
      <c r="E38" s="12">
        <v>13</v>
      </c>
      <c r="F38" s="8">
        <v>1.45</v>
      </c>
      <c r="G38" s="12">
        <v>35</v>
      </c>
      <c r="H38" s="8">
        <v>2.19</v>
      </c>
      <c r="I38" s="12">
        <v>0</v>
      </c>
    </row>
    <row r="39" spans="2:9" ht="15" customHeight="1" x14ac:dyDescent="0.2">
      <c r="B39" t="s">
        <v>115</v>
      </c>
      <c r="C39" s="12">
        <v>43</v>
      </c>
      <c r="D39" s="8">
        <v>1.7</v>
      </c>
      <c r="E39" s="12">
        <v>0</v>
      </c>
      <c r="F39" s="8">
        <v>0</v>
      </c>
      <c r="G39" s="12">
        <v>43</v>
      </c>
      <c r="H39" s="8">
        <v>2.69</v>
      </c>
      <c r="I39" s="12">
        <v>0</v>
      </c>
    </row>
    <row r="40" spans="2:9" ht="15" customHeight="1" x14ac:dyDescent="0.2">
      <c r="B40" t="s">
        <v>109</v>
      </c>
      <c r="C40" s="12">
        <v>43</v>
      </c>
      <c r="D40" s="8">
        <v>1.7</v>
      </c>
      <c r="E40" s="12">
        <v>6</v>
      </c>
      <c r="F40" s="8">
        <v>0.67</v>
      </c>
      <c r="G40" s="12">
        <v>37</v>
      </c>
      <c r="H40" s="8">
        <v>2.3199999999999998</v>
      </c>
      <c r="I40" s="12">
        <v>0</v>
      </c>
    </row>
    <row r="41" spans="2:9" ht="15" customHeight="1" x14ac:dyDescent="0.2">
      <c r="B41" t="s">
        <v>114</v>
      </c>
      <c r="C41" s="12">
        <v>38</v>
      </c>
      <c r="D41" s="8">
        <v>1.5</v>
      </c>
      <c r="E41" s="12">
        <v>0</v>
      </c>
      <c r="F41" s="8">
        <v>0</v>
      </c>
      <c r="G41" s="12">
        <v>38</v>
      </c>
      <c r="H41" s="8">
        <v>2.38</v>
      </c>
      <c r="I41" s="12">
        <v>0</v>
      </c>
    </row>
    <row r="42" spans="2:9" ht="15" customHeight="1" x14ac:dyDescent="0.2">
      <c r="B42" t="s">
        <v>93</v>
      </c>
      <c r="C42" s="12">
        <v>35</v>
      </c>
      <c r="D42" s="8">
        <v>1.38</v>
      </c>
      <c r="E42" s="12">
        <v>1</v>
      </c>
      <c r="F42" s="8">
        <v>0.11</v>
      </c>
      <c r="G42" s="12">
        <v>34</v>
      </c>
      <c r="H42" s="8">
        <v>2.13</v>
      </c>
      <c r="I42" s="12">
        <v>0</v>
      </c>
    </row>
    <row r="43" spans="2:9" ht="15" customHeight="1" x14ac:dyDescent="0.2">
      <c r="B43" t="s">
        <v>104</v>
      </c>
      <c r="C43" s="12">
        <v>31</v>
      </c>
      <c r="D43" s="8">
        <v>1.22</v>
      </c>
      <c r="E43" s="12">
        <v>1</v>
      </c>
      <c r="F43" s="8">
        <v>0.11</v>
      </c>
      <c r="G43" s="12">
        <v>30</v>
      </c>
      <c r="H43" s="8">
        <v>1.88</v>
      </c>
      <c r="I43" s="12">
        <v>0</v>
      </c>
    </row>
    <row r="44" spans="2:9" ht="15" customHeight="1" x14ac:dyDescent="0.2">
      <c r="B44" t="s">
        <v>103</v>
      </c>
      <c r="C44" s="12">
        <v>31</v>
      </c>
      <c r="D44" s="8">
        <v>1.22</v>
      </c>
      <c r="E44" s="12">
        <v>18</v>
      </c>
      <c r="F44" s="8">
        <v>2</v>
      </c>
      <c r="G44" s="12">
        <v>13</v>
      </c>
      <c r="H44" s="8">
        <v>0.81</v>
      </c>
      <c r="I44" s="12">
        <v>0</v>
      </c>
    </row>
    <row r="47" spans="2:9" ht="33" customHeight="1" x14ac:dyDescent="0.2">
      <c r="B47" t="s">
        <v>250</v>
      </c>
      <c r="C47" s="10" t="s">
        <v>77</v>
      </c>
      <c r="D47" s="10" t="s">
        <v>78</v>
      </c>
      <c r="E47" s="10" t="s">
        <v>79</v>
      </c>
      <c r="F47" s="10" t="s">
        <v>80</v>
      </c>
      <c r="G47" s="10" t="s">
        <v>81</v>
      </c>
      <c r="H47" s="10" t="s">
        <v>82</v>
      </c>
      <c r="I47" s="10" t="s">
        <v>83</v>
      </c>
    </row>
    <row r="48" spans="2:9" ht="15" customHeight="1" x14ac:dyDescent="0.2">
      <c r="B48" t="s">
        <v>164</v>
      </c>
      <c r="C48" s="12">
        <v>124</v>
      </c>
      <c r="D48" s="8">
        <v>4.8899999999999997</v>
      </c>
      <c r="E48" s="12">
        <v>107</v>
      </c>
      <c r="F48" s="8">
        <v>11.92</v>
      </c>
      <c r="G48" s="12">
        <v>17</v>
      </c>
      <c r="H48" s="8">
        <v>1.06</v>
      </c>
      <c r="I48" s="12">
        <v>0</v>
      </c>
    </row>
    <row r="49" spans="2:9" ht="15" customHeight="1" x14ac:dyDescent="0.2">
      <c r="B49" t="s">
        <v>158</v>
      </c>
      <c r="C49" s="12">
        <v>85</v>
      </c>
      <c r="D49" s="8">
        <v>3.35</v>
      </c>
      <c r="E49" s="12">
        <v>22</v>
      </c>
      <c r="F49" s="8">
        <v>2.4500000000000002</v>
      </c>
      <c r="G49" s="12">
        <v>63</v>
      </c>
      <c r="H49" s="8">
        <v>3.94</v>
      </c>
      <c r="I49" s="12">
        <v>0</v>
      </c>
    </row>
    <row r="50" spans="2:9" ht="15" customHeight="1" x14ac:dyDescent="0.2">
      <c r="B50" t="s">
        <v>163</v>
      </c>
      <c r="C50" s="12">
        <v>78</v>
      </c>
      <c r="D50" s="8">
        <v>3.08</v>
      </c>
      <c r="E50" s="12">
        <v>70</v>
      </c>
      <c r="F50" s="8">
        <v>7.8</v>
      </c>
      <c r="G50" s="12">
        <v>8</v>
      </c>
      <c r="H50" s="8">
        <v>0.5</v>
      </c>
      <c r="I50" s="12">
        <v>0</v>
      </c>
    </row>
    <row r="51" spans="2:9" ht="15" customHeight="1" x14ac:dyDescent="0.2">
      <c r="B51" t="s">
        <v>161</v>
      </c>
      <c r="C51" s="12">
        <v>77</v>
      </c>
      <c r="D51" s="8">
        <v>3.04</v>
      </c>
      <c r="E51" s="12">
        <v>51</v>
      </c>
      <c r="F51" s="8">
        <v>5.68</v>
      </c>
      <c r="G51" s="12">
        <v>26</v>
      </c>
      <c r="H51" s="8">
        <v>1.63</v>
      </c>
      <c r="I51" s="12">
        <v>0</v>
      </c>
    </row>
    <row r="52" spans="2:9" ht="15" customHeight="1" x14ac:dyDescent="0.2">
      <c r="B52" t="s">
        <v>156</v>
      </c>
      <c r="C52" s="12">
        <v>59</v>
      </c>
      <c r="D52" s="8">
        <v>2.33</v>
      </c>
      <c r="E52" s="12">
        <v>22</v>
      </c>
      <c r="F52" s="8">
        <v>2.4500000000000002</v>
      </c>
      <c r="G52" s="12">
        <v>37</v>
      </c>
      <c r="H52" s="8">
        <v>2.3199999999999998</v>
      </c>
      <c r="I52" s="12">
        <v>0</v>
      </c>
    </row>
    <row r="53" spans="2:9" ht="15" customHeight="1" x14ac:dyDescent="0.2">
      <c r="B53" t="s">
        <v>166</v>
      </c>
      <c r="C53" s="12">
        <v>58</v>
      </c>
      <c r="D53" s="8">
        <v>2.29</v>
      </c>
      <c r="E53" s="12">
        <v>52</v>
      </c>
      <c r="F53" s="8">
        <v>5.79</v>
      </c>
      <c r="G53" s="12">
        <v>6</v>
      </c>
      <c r="H53" s="8">
        <v>0.38</v>
      </c>
      <c r="I53" s="12">
        <v>0</v>
      </c>
    </row>
    <row r="54" spans="2:9" ht="15" customHeight="1" x14ac:dyDescent="0.2">
      <c r="B54" t="s">
        <v>148</v>
      </c>
      <c r="C54" s="12">
        <v>53</v>
      </c>
      <c r="D54" s="8">
        <v>2.09</v>
      </c>
      <c r="E54" s="12">
        <v>4</v>
      </c>
      <c r="F54" s="8">
        <v>0.45</v>
      </c>
      <c r="G54" s="12">
        <v>49</v>
      </c>
      <c r="H54" s="8">
        <v>3.07</v>
      </c>
      <c r="I54" s="12">
        <v>0</v>
      </c>
    </row>
    <row r="55" spans="2:9" ht="15" customHeight="1" x14ac:dyDescent="0.2">
      <c r="B55" t="s">
        <v>162</v>
      </c>
      <c r="C55" s="12">
        <v>52</v>
      </c>
      <c r="D55" s="8">
        <v>2.0499999999999998</v>
      </c>
      <c r="E55" s="12">
        <v>44</v>
      </c>
      <c r="F55" s="8">
        <v>4.9000000000000004</v>
      </c>
      <c r="G55" s="12">
        <v>8</v>
      </c>
      <c r="H55" s="8">
        <v>0.5</v>
      </c>
      <c r="I55" s="12">
        <v>0</v>
      </c>
    </row>
    <row r="56" spans="2:9" ht="15" customHeight="1" x14ac:dyDescent="0.2">
      <c r="B56" t="s">
        <v>157</v>
      </c>
      <c r="C56" s="12">
        <v>49</v>
      </c>
      <c r="D56" s="8">
        <v>1.93</v>
      </c>
      <c r="E56" s="12">
        <v>3</v>
      </c>
      <c r="F56" s="8">
        <v>0.33</v>
      </c>
      <c r="G56" s="12">
        <v>46</v>
      </c>
      <c r="H56" s="8">
        <v>2.88</v>
      </c>
      <c r="I56" s="12">
        <v>0</v>
      </c>
    </row>
    <row r="57" spans="2:9" ht="15" customHeight="1" x14ac:dyDescent="0.2">
      <c r="B57" t="s">
        <v>150</v>
      </c>
      <c r="C57" s="12">
        <v>46</v>
      </c>
      <c r="D57" s="8">
        <v>1.82</v>
      </c>
      <c r="E57" s="12">
        <v>17</v>
      </c>
      <c r="F57" s="8">
        <v>1.89</v>
      </c>
      <c r="G57" s="12">
        <v>29</v>
      </c>
      <c r="H57" s="8">
        <v>1.81</v>
      </c>
      <c r="I57" s="12">
        <v>0</v>
      </c>
    </row>
    <row r="58" spans="2:9" ht="15" customHeight="1" x14ac:dyDescent="0.2">
      <c r="B58" t="s">
        <v>192</v>
      </c>
      <c r="C58" s="12">
        <v>45</v>
      </c>
      <c r="D58" s="8">
        <v>1.78</v>
      </c>
      <c r="E58" s="12">
        <v>32</v>
      </c>
      <c r="F58" s="8">
        <v>3.56</v>
      </c>
      <c r="G58" s="12">
        <v>13</v>
      </c>
      <c r="H58" s="8">
        <v>0.81</v>
      </c>
      <c r="I58" s="12">
        <v>0</v>
      </c>
    </row>
    <row r="59" spans="2:9" ht="15" customHeight="1" x14ac:dyDescent="0.2">
      <c r="B59" t="s">
        <v>177</v>
      </c>
      <c r="C59" s="12">
        <v>44</v>
      </c>
      <c r="D59" s="8">
        <v>1.74</v>
      </c>
      <c r="E59" s="12">
        <v>7</v>
      </c>
      <c r="F59" s="8">
        <v>0.78</v>
      </c>
      <c r="G59" s="12">
        <v>37</v>
      </c>
      <c r="H59" s="8">
        <v>2.3199999999999998</v>
      </c>
      <c r="I59" s="12">
        <v>0</v>
      </c>
    </row>
    <row r="60" spans="2:9" ht="15" customHeight="1" x14ac:dyDescent="0.2">
      <c r="B60" t="s">
        <v>149</v>
      </c>
      <c r="C60" s="12">
        <v>42</v>
      </c>
      <c r="D60" s="8">
        <v>1.66</v>
      </c>
      <c r="E60" s="12">
        <v>8</v>
      </c>
      <c r="F60" s="8">
        <v>0.89</v>
      </c>
      <c r="G60" s="12">
        <v>34</v>
      </c>
      <c r="H60" s="8">
        <v>2.13</v>
      </c>
      <c r="I60" s="12">
        <v>0</v>
      </c>
    </row>
    <row r="61" spans="2:9" ht="15" customHeight="1" x14ac:dyDescent="0.2">
      <c r="B61" t="s">
        <v>154</v>
      </c>
      <c r="C61" s="12">
        <v>42</v>
      </c>
      <c r="D61" s="8">
        <v>1.66</v>
      </c>
      <c r="E61" s="12">
        <v>15</v>
      </c>
      <c r="F61" s="8">
        <v>1.67</v>
      </c>
      <c r="G61" s="12">
        <v>27</v>
      </c>
      <c r="H61" s="8">
        <v>1.69</v>
      </c>
      <c r="I61" s="12">
        <v>0</v>
      </c>
    </row>
    <row r="62" spans="2:9" ht="15" customHeight="1" x14ac:dyDescent="0.2">
      <c r="B62" t="s">
        <v>165</v>
      </c>
      <c r="C62" s="12">
        <v>42</v>
      </c>
      <c r="D62" s="8">
        <v>1.66</v>
      </c>
      <c r="E62" s="12">
        <v>20</v>
      </c>
      <c r="F62" s="8">
        <v>2.23</v>
      </c>
      <c r="G62" s="12">
        <v>22</v>
      </c>
      <c r="H62" s="8">
        <v>1.38</v>
      </c>
      <c r="I62" s="12">
        <v>0</v>
      </c>
    </row>
    <row r="63" spans="2:9" ht="15" customHeight="1" x14ac:dyDescent="0.2">
      <c r="B63" t="s">
        <v>190</v>
      </c>
      <c r="C63" s="12">
        <v>39</v>
      </c>
      <c r="D63" s="8">
        <v>1.54</v>
      </c>
      <c r="E63" s="12">
        <v>19</v>
      </c>
      <c r="F63" s="8">
        <v>2.12</v>
      </c>
      <c r="G63" s="12">
        <v>20</v>
      </c>
      <c r="H63" s="8">
        <v>1.25</v>
      </c>
      <c r="I63" s="12">
        <v>0</v>
      </c>
    </row>
    <row r="64" spans="2:9" ht="15" customHeight="1" x14ac:dyDescent="0.2">
      <c r="B64" t="s">
        <v>151</v>
      </c>
      <c r="C64" s="12">
        <v>35</v>
      </c>
      <c r="D64" s="8">
        <v>1.38</v>
      </c>
      <c r="E64" s="12">
        <v>3</v>
      </c>
      <c r="F64" s="8">
        <v>0.33</v>
      </c>
      <c r="G64" s="12">
        <v>32</v>
      </c>
      <c r="H64" s="8">
        <v>2</v>
      </c>
      <c r="I64" s="12">
        <v>0</v>
      </c>
    </row>
    <row r="65" spans="2:9" ht="15" customHeight="1" x14ac:dyDescent="0.2">
      <c r="B65" t="s">
        <v>152</v>
      </c>
      <c r="C65" s="12">
        <v>35</v>
      </c>
      <c r="D65" s="8">
        <v>1.38</v>
      </c>
      <c r="E65" s="12">
        <v>7</v>
      </c>
      <c r="F65" s="8">
        <v>0.78</v>
      </c>
      <c r="G65" s="12">
        <v>28</v>
      </c>
      <c r="H65" s="8">
        <v>1.75</v>
      </c>
      <c r="I65" s="12">
        <v>0</v>
      </c>
    </row>
    <row r="66" spans="2:9" ht="15" customHeight="1" x14ac:dyDescent="0.2">
      <c r="B66" t="s">
        <v>185</v>
      </c>
      <c r="C66" s="12">
        <v>35</v>
      </c>
      <c r="D66" s="8">
        <v>1.38</v>
      </c>
      <c r="E66" s="12">
        <v>4</v>
      </c>
      <c r="F66" s="8">
        <v>0.45</v>
      </c>
      <c r="G66" s="12">
        <v>31</v>
      </c>
      <c r="H66" s="8">
        <v>1.94</v>
      </c>
      <c r="I66" s="12">
        <v>0</v>
      </c>
    </row>
    <row r="67" spans="2:9" ht="15" customHeight="1" x14ac:dyDescent="0.2">
      <c r="B67" t="s">
        <v>179</v>
      </c>
      <c r="C67" s="12">
        <v>35</v>
      </c>
      <c r="D67" s="8">
        <v>1.38</v>
      </c>
      <c r="E67" s="12">
        <v>21</v>
      </c>
      <c r="F67" s="8">
        <v>2.34</v>
      </c>
      <c r="G67" s="12">
        <v>14</v>
      </c>
      <c r="H67" s="8">
        <v>0.88</v>
      </c>
      <c r="I67" s="12">
        <v>0</v>
      </c>
    </row>
    <row r="69" spans="2:9" ht="15" customHeight="1" x14ac:dyDescent="0.2">
      <c r="B69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2482E-A501-44EE-AA85-210BF031A3A1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268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1</v>
      </c>
      <c r="D5" s="8">
        <v>0.04</v>
      </c>
      <c r="E5" s="12">
        <v>0</v>
      </c>
      <c r="F5" s="8">
        <v>0</v>
      </c>
      <c r="G5" s="12">
        <v>1</v>
      </c>
      <c r="H5" s="8">
        <v>7.0000000000000007E-2</v>
      </c>
      <c r="I5" s="12">
        <v>0</v>
      </c>
    </row>
    <row r="6" spans="2:9" ht="15" customHeight="1" x14ac:dyDescent="0.2">
      <c r="B6" t="s">
        <v>62</v>
      </c>
      <c r="C6" s="12">
        <v>340</v>
      </c>
      <c r="D6" s="8">
        <v>13.8</v>
      </c>
      <c r="E6" s="12">
        <v>59</v>
      </c>
      <c r="F6" s="8">
        <v>5.77</v>
      </c>
      <c r="G6" s="12">
        <v>281</v>
      </c>
      <c r="H6" s="8">
        <v>19.62</v>
      </c>
      <c r="I6" s="12">
        <v>0</v>
      </c>
    </row>
    <row r="7" spans="2:9" ht="15" customHeight="1" x14ac:dyDescent="0.2">
      <c r="B7" t="s">
        <v>63</v>
      </c>
      <c r="C7" s="12">
        <v>125</v>
      </c>
      <c r="D7" s="8">
        <v>5.08</v>
      </c>
      <c r="E7" s="12">
        <v>24</v>
      </c>
      <c r="F7" s="8">
        <v>2.35</v>
      </c>
      <c r="G7" s="12">
        <v>101</v>
      </c>
      <c r="H7" s="8">
        <v>7.05</v>
      </c>
      <c r="I7" s="12">
        <v>0</v>
      </c>
    </row>
    <row r="8" spans="2:9" ht="15" customHeight="1" x14ac:dyDescent="0.2">
      <c r="B8" t="s">
        <v>64</v>
      </c>
      <c r="C8" s="12">
        <v>8</v>
      </c>
      <c r="D8" s="8">
        <v>0.32</v>
      </c>
      <c r="E8" s="12">
        <v>0</v>
      </c>
      <c r="F8" s="8">
        <v>0</v>
      </c>
      <c r="G8" s="12">
        <v>8</v>
      </c>
      <c r="H8" s="8">
        <v>0.56000000000000005</v>
      </c>
      <c r="I8" s="12">
        <v>0</v>
      </c>
    </row>
    <row r="9" spans="2:9" ht="15" customHeight="1" x14ac:dyDescent="0.2">
      <c r="B9" t="s">
        <v>65</v>
      </c>
      <c r="C9" s="12">
        <v>39</v>
      </c>
      <c r="D9" s="8">
        <v>1.58</v>
      </c>
      <c r="E9" s="12">
        <v>0</v>
      </c>
      <c r="F9" s="8">
        <v>0</v>
      </c>
      <c r="G9" s="12">
        <v>39</v>
      </c>
      <c r="H9" s="8">
        <v>2.72</v>
      </c>
      <c r="I9" s="12">
        <v>0</v>
      </c>
    </row>
    <row r="10" spans="2:9" ht="15" customHeight="1" x14ac:dyDescent="0.2">
      <c r="B10" t="s">
        <v>66</v>
      </c>
      <c r="C10" s="12">
        <v>20</v>
      </c>
      <c r="D10" s="8">
        <v>0.81</v>
      </c>
      <c r="E10" s="12">
        <v>2</v>
      </c>
      <c r="F10" s="8">
        <v>0.2</v>
      </c>
      <c r="G10" s="12">
        <v>18</v>
      </c>
      <c r="H10" s="8">
        <v>1.26</v>
      </c>
      <c r="I10" s="12">
        <v>0</v>
      </c>
    </row>
    <row r="11" spans="2:9" ht="15" customHeight="1" x14ac:dyDescent="0.2">
      <c r="B11" t="s">
        <v>67</v>
      </c>
      <c r="C11" s="12">
        <v>520</v>
      </c>
      <c r="D11" s="8">
        <v>21.11</v>
      </c>
      <c r="E11" s="12">
        <v>160</v>
      </c>
      <c r="F11" s="8">
        <v>15.66</v>
      </c>
      <c r="G11" s="12">
        <v>359</v>
      </c>
      <c r="H11" s="8">
        <v>25.07</v>
      </c>
      <c r="I11" s="12">
        <v>1</v>
      </c>
    </row>
    <row r="12" spans="2:9" ht="15" customHeight="1" x14ac:dyDescent="0.2">
      <c r="B12" t="s">
        <v>68</v>
      </c>
      <c r="C12" s="12">
        <v>20</v>
      </c>
      <c r="D12" s="8">
        <v>0.81</v>
      </c>
      <c r="E12" s="12">
        <v>4</v>
      </c>
      <c r="F12" s="8">
        <v>0.39</v>
      </c>
      <c r="G12" s="12">
        <v>15</v>
      </c>
      <c r="H12" s="8">
        <v>1.05</v>
      </c>
      <c r="I12" s="12">
        <v>0</v>
      </c>
    </row>
    <row r="13" spans="2:9" ht="15" customHeight="1" x14ac:dyDescent="0.2">
      <c r="B13" t="s">
        <v>69</v>
      </c>
      <c r="C13" s="12">
        <v>206</v>
      </c>
      <c r="D13" s="8">
        <v>8.36</v>
      </c>
      <c r="E13" s="12">
        <v>27</v>
      </c>
      <c r="F13" s="8">
        <v>2.64</v>
      </c>
      <c r="G13" s="12">
        <v>178</v>
      </c>
      <c r="H13" s="8">
        <v>12.43</v>
      </c>
      <c r="I13" s="12">
        <v>0</v>
      </c>
    </row>
    <row r="14" spans="2:9" ht="15" customHeight="1" x14ac:dyDescent="0.2">
      <c r="B14" t="s">
        <v>70</v>
      </c>
      <c r="C14" s="12">
        <v>184</v>
      </c>
      <c r="D14" s="8">
        <v>7.47</v>
      </c>
      <c r="E14" s="12">
        <v>88</v>
      </c>
      <c r="F14" s="8">
        <v>8.61</v>
      </c>
      <c r="G14" s="12">
        <v>96</v>
      </c>
      <c r="H14" s="8">
        <v>6.7</v>
      </c>
      <c r="I14" s="12">
        <v>0</v>
      </c>
    </row>
    <row r="15" spans="2:9" ht="15" customHeight="1" x14ac:dyDescent="0.2">
      <c r="B15" t="s">
        <v>71</v>
      </c>
      <c r="C15" s="12">
        <v>274</v>
      </c>
      <c r="D15" s="8">
        <v>11.12</v>
      </c>
      <c r="E15" s="12">
        <v>202</v>
      </c>
      <c r="F15" s="8">
        <v>19.77</v>
      </c>
      <c r="G15" s="12">
        <v>72</v>
      </c>
      <c r="H15" s="8">
        <v>5.03</v>
      </c>
      <c r="I15" s="12">
        <v>0</v>
      </c>
    </row>
    <row r="16" spans="2:9" ht="15" customHeight="1" x14ac:dyDescent="0.2">
      <c r="B16" t="s">
        <v>72</v>
      </c>
      <c r="C16" s="12">
        <v>362</v>
      </c>
      <c r="D16" s="8">
        <v>14.7</v>
      </c>
      <c r="E16" s="12">
        <v>260</v>
      </c>
      <c r="F16" s="8">
        <v>25.44</v>
      </c>
      <c r="G16" s="12">
        <v>102</v>
      </c>
      <c r="H16" s="8">
        <v>7.12</v>
      </c>
      <c r="I16" s="12">
        <v>0</v>
      </c>
    </row>
    <row r="17" spans="2:9" ht="15" customHeight="1" x14ac:dyDescent="0.2">
      <c r="B17" t="s">
        <v>73</v>
      </c>
      <c r="C17" s="12">
        <v>122</v>
      </c>
      <c r="D17" s="8">
        <v>4.95</v>
      </c>
      <c r="E17" s="12">
        <v>80</v>
      </c>
      <c r="F17" s="8">
        <v>7.83</v>
      </c>
      <c r="G17" s="12">
        <v>39</v>
      </c>
      <c r="H17" s="8">
        <v>2.72</v>
      </c>
      <c r="I17" s="12">
        <v>0</v>
      </c>
    </row>
    <row r="18" spans="2:9" ht="15" customHeight="1" x14ac:dyDescent="0.2">
      <c r="B18" t="s">
        <v>74</v>
      </c>
      <c r="C18" s="12">
        <v>144</v>
      </c>
      <c r="D18" s="8">
        <v>5.85</v>
      </c>
      <c r="E18" s="12">
        <v>87</v>
      </c>
      <c r="F18" s="8">
        <v>8.51</v>
      </c>
      <c r="G18" s="12">
        <v>56</v>
      </c>
      <c r="H18" s="8">
        <v>3.91</v>
      </c>
      <c r="I18" s="12">
        <v>0</v>
      </c>
    </row>
    <row r="19" spans="2:9" ht="15" customHeight="1" x14ac:dyDescent="0.2">
      <c r="B19" t="s">
        <v>75</v>
      </c>
      <c r="C19" s="12">
        <v>98</v>
      </c>
      <c r="D19" s="8">
        <v>3.98</v>
      </c>
      <c r="E19" s="12">
        <v>29</v>
      </c>
      <c r="F19" s="8">
        <v>2.84</v>
      </c>
      <c r="G19" s="12">
        <v>67</v>
      </c>
      <c r="H19" s="8">
        <v>4.68</v>
      </c>
      <c r="I19" s="12">
        <v>0</v>
      </c>
    </row>
    <row r="20" spans="2:9" ht="15" customHeight="1" x14ac:dyDescent="0.2">
      <c r="B20" s="9" t="s">
        <v>248</v>
      </c>
      <c r="C20" s="12">
        <f>SUM(LTBL_12212[総数／事業所数])</f>
        <v>2463</v>
      </c>
      <c r="E20" s="12">
        <f>SUBTOTAL(109,LTBL_12212[個人／事業所数])</f>
        <v>1022</v>
      </c>
      <c r="G20" s="12">
        <f>SUBTOTAL(109,LTBL_12212[法人／事業所数])</f>
        <v>1432</v>
      </c>
      <c r="I20" s="12">
        <f>SUBTOTAL(109,LTBL_12212[法人以外の団体／事業所数])</f>
        <v>1</v>
      </c>
    </row>
    <row r="21" spans="2:9" ht="15" customHeight="1" x14ac:dyDescent="0.2">
      <c r="E21" s="11">
        <f>LTBL_12212[[#Totals],[個人／事業所数]]/LTBL_12212[[#Totals],[総数／事業所数]]</f>
        <v>0.41494112870483152</v>
      </c>
      <c r="G21" s="11">
        <f>LTBL_12212[[#Totals],[法人／事業所数]]/LTBL_12212[[#Totals],[総数／事業所数]]</f>
        <v>0.58140479090539987</v>
      </c>
      <c r="I21" s="11">
        <f>LTBL_12212[[#Totals],[法人以外の団体／事業所数]]/LTBL_12212[[#Totals],[総数／事業所数]]</f>
        <v>4.0600893219650832E-4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286</v>
      </c>
      <c r="D24" s="8">
        <v>11.61</v>
      </c>
      <c r="E24" s="12">
        <v>231</v>
      </c>
      <c r="F24" s="8">
        <v>22.6</v>
      </c>
      <c r="G24" s="12">
        <v>55</v>
      </c>
      <c r="H24" s="8">
        <v>3.84</v>
      </c>
      <c r="I24" s="12">
        <v>0</v>
      </c>
    </row>
    <row r="25" spans="2:9" ht="15" customHeight="1" x14ac:dyDescent="0.2">
      <c r="B25" t="s">
        <v>97</v>
      </c>
      <c r="C25" s="12">
        <v>252</v>
      </c>
      <c r="D25" s="8">
        <v>10.23</v>
      </c>
      <c r="E25" s="12">
        <v>200</v>
      </c>
      <c r="F25" s="8">
        <v>19.57</v>
      </c>
      <c r="G25" s="12">
        <v>52</v>
      </c>
      <c r="H25" s="8">
        <v>3.63</v>
      </c>
      <c r="I25" s="12">
        <v>0</v>
      </c>
    </row>
    <row r="26" spans="2:9" ht="15" customHeight="1" x14ac:dyDescent="0.2">
      <c r="B26" t="s">
        <v>94</v>
      </c>
      <c r="C26" s="12">
        <v>157</v>
      </c>
      <c r="D26" s="8">
        <v>6.37</v>
      </c>
      <c r="E26" s="12">
        <v>25</v>
      </c>
      <c r="F26" s="8">
        <v>2.4500000000000002</v>
      </c>
      <c r="G26" s="12">
        <v>131</v>
      </c>
      <c r="H26" s="8">
        <v>9.15</v>
      </c>
      <c r="I26" s="12">
        <v>0</v>
      </c>
    </row>
    <row r="27" spans="2:9" ht="15" customHeight="1" x14ac:dyDescent="0.2">
      <c r="B27" t="s">
        <v>84</v>
      </c>
      <c r="C27" s="12">
        <v>145</v>
      </c>
      <c r="D27" s="8">
        <v>5.89</v>
      </c>
      <c r="E27" s="12">
        <v>22</v>
      </c>
      <c r="F27" s="8">
        <v>2.15</v>
      </c>
      <c r="G27" s="12">
        <v>123</v>
      </c>
      <c r="H27" s="8">
        <v>8.59</v>
      </c>
      <c r="I27" s="12">
        <v>0</v>
      </c>
    </row>
    <row r="28" spans="2:9" ht="15" customHeight="1" x14ac:dyDescent="0.2">
      <c r="B28" t="s">
        <v>92</v>
      </c>
      <c r="C28" s="12">
        <v>138</v>
      </c>
      <c r="D28" s="8">
        <v>5.6</v>
      </c>
      <c r="E28" s="12">
        <v>55</v>
      </c>
      <c r="F28" s="8">
        <v>5.38</v>
      </c>
      <c r="G28" s="12">
        <v>82</v>
      </c>
      <c r="H28" s="8">
        <v>5.73</v>
      </c>
      <c r="I28" s="12">
        <v>1</v>
      </c>
    </row>
    <row r="29" spans="2:9" ht="15" customHeight="1" x14ac:dyDescent="0.2">
      <c r="B29" t="s">
        <v>85</v>
      </c>
      <c r="C29" s="12">
        <v>123</v>
      </c>
      <c r="D29" s="8">
        <v>4.99</v>
      </c>
      <c r="E29" s="12">
        <v>29</v>
      </c>
      <c r="F29" s="8">
        <v>2.84</v>
      </c>
      <c r="G29" s="12">
        <v>94</v>
      </c>
      <c r="H29" s="8">
        <v>6.56</v>
      </c>
      <c r="I29" s="12">
        <v>0</v>
      </c>
    </row>
    <row r="30" spans="2:9" ht="15" customHeight="1" x14ac:dyDescent="0.2">
      <c r="B30" t="s">
        <v>100</v>
      </c>
      <c r="C30" s="12">
        <v>122</v>
      </c>
      <c r="D30" s="8">
        <v>4.95</v>
      </c>
      <c r="E30" s="12">
        <v>80</v>
      </c>
      <c r="F30" s="8">
        <v>7.83</v>
      </c>
      <c r="G30" s="12">
        <v>39</v>
      </c>
      <c r="H30" s="8">
        <v>2.72</v>
      </c>
      <c r="I30" s="12">
        <v>0</v>
      </c>
    </row>
    <row r="31" spans="2:9" ht="15" customHeight="1" x14ac:dyDescent="0.2">
      <c r="B31" t="s">
        <v>101</v>
      </c>
      <c r="C31" s="12">
        <v>105</v>
      </c>
      <c r="D31" s="8">
        <v>4.26</v>
      </c>
      <c r="E31" s="12">
        <v>87</v>
      </c>
      <c r="F31" s="8">
        <v>8.51</v>
      </c>
      <c r="G31" s="12">
        <v>18</v>
      </c>
      <c r="H31" s="8">
        <v>1.26</v>
      </c>
      <c r="I31" s="12">
        <v>0</v>
      </c>
    </row>
    <row r="32" spans="2:9" ht="15" customHeight="1" x14ac:dyDescent="0.2">
      <c r="B32" t="s">
        <v>95</v>
      </c>
      <c r="C32" s="12">
        <v>99</v>
      </c>
      <c r="D32" s="8">
        <v>4.0199999999999996</v>
      </c>
      <c r="E32" s="12">
        <v>60</v>
      </c>
      <c r="F32" s="8">
        <v>5.87</v>
      </c>
      <c r="G32" s="12">
        <v>39</v>
      </c>
      <c r="H32" s="8">
        <v>2.72</v>
      </c>
      <c r="I32" s="12">
        <v>0</v>
      </c>
    </row>
    <row r="33" spans="2:9" ht="15" customHeight="1" x14ac:dyDescent="0.2">
      <c r="B33" t="s">
        <v>90</v>
      </c>
      <c r="C33" s="12">
        <v>91</v>
      </c>
      <c r="D33" s="8">
        <v>3.69</v>
      </c>
      <c r="E33" s="12">
        <v>43</v>
      </c>
      <c r="F33" s="8">
        <v>4.21</v>
      </c>
      <c r="G33" s="12">
        <v>48</v>
      </c>
      <c r="H33" s="8">
        <v>3.35</v>
      </c>
      <c r="I33" s="12">
        <v>0</v>
      </c>
    </row>
    <row r="34" spans="2:9" ht="15" customHeight="1" x14ac:dyDescent="0.2">
      <c r="B34" t="s">
        <v>96</v>
      </c>
      <c r="C34" s="12">
        <v>80</v>
      </c>
      <c r="D34" s="8">
        <v>3.25</v>
      </c>
      <c r="E34" s="12">
        <v>26</v>
      </c>
      <c r="F34" s="8">
        <v>2.54</v>
      </c>
      <c r="G34" s="12">
        <v>54</v>
      </c>
      <c r="H34" s="8">
        <v>3.77</v>
      </c>
      <c r="I34" s="12">
        <v>0</v>
      </c>
    </row>
    <row r="35" spans="2:9" ht="15" customHeight="1" x14ac:dyDescent="0.2">
      <c r="B35" t="s">
        <v>91</v>
      </c>
      <c r="C35" s="12">
        <v>74</v>
      </c>
      <c r="D35" s="8">
        <v>3</v>
      </c>
      <c r="E35" s="12">
        <v>23</v>
      </c>
      <c r="F35" s="8">
        <v>2.25</v>
      </c>
      <c r="G35" s="12">
        <v>51</v>
      </c>
      <c r="H35" s="8">
        <v>3.56</v>
      </c>
      <c r="I35" s="12">
        <v>0</v>
      </c>
    </row>
    <row r="36" spans="2:9" ht="15" customHeight="1" x14ac:dyDescent="0.2">
      <c r="B36" t="s">
        <v>86</v>
      </c>
      <c r="C36" s="12">
        <v>72</v>
      </c>
      <c r="D36" s="8">
        <v>2.92</v>
      </c>
      <c r="E36" s="12">
        <v>8</v>
      </c>
      <c r="F36" s="8">
        <v>0.78</v>
      </c>
      <c r="G36" s="12">
        <v>64</v>
      </c>
      <c r="H36" s="8">
        <v>4.47</v>
      </c>
      <c r="I36" s="12">
        <v>0</v>
      </c>
    </row>
    <row r="37" spans="2:9" ht="15" customHeight="1" x14ac:dyDescent="0.2">
      <c r="B37" t="s">
        <v>89</v>
      </c>
      <c r="C37" s="12">
        <v>51</v>
      </c>
      <c r="D37" s="8">
        <v>2.0699999999999998</v>
      </c>
      <c r="E37" s="12">
        <v>20</v>
      </c>
      <c r="F37" s="8">
        <v>1.96</v>
      </c>
      <c r="G37" s="12">
        <v>31</v>
      </c>
      <c r="H37" s="8">
        <v>2.16</v>
      </c>
      <c r="I37" s="12">
        <v>0</v>
      </c>
    </row>
    <row r="38" spans="2:9" ht="15" customHeight="1" x14ac:dyDescent="0.2">
      <c r="B38" t="s">
        <v>103</v>
      </c>
      <c r="C38" s="12">
        <v>49</v>
      </c>
      <c r="D38" s="8">
        <v>1.99</v>
      </c>
      <c r="E38" s="12">
        <v>24</v>
      </c>
      <c r="F38" s="8">
        <v>2.35</v>
      </c>
      <c r="G38" s="12">
        <v>25</v>
      </c>
      <c r="H38" s="8">
        <v>1.75</v>
      </c>
      <c r="I38" s="12">
        <v>0</v>
      </c>
    </row>
    <row r="39" spans="2:9" ht="15" customHeight="1" x14ac:dyDescent="0.2">
      <c r="B39" t="s">
        <v>88</v>
      </c>
      <c r="C39" s="12">
        <v>45</v>
      </c>
      <c r="D39" s="8">
        <v>1.83</v>
      </c>
      <c r="E39" s="12">
        <v>2</v>
      </c>
      <c r="F39" s="8">
        <v>0.2</v>
      </c>
      <c r="G39" s="12">
        <v>43</v>
      </c>
      <c r="H39" s="8">
        <v>3</v>
      </c>
      <c r="I39" s="12">
        <v>0</v>
      </c>
    </row>
    <row r="40" spans="2:9" ht="15" customHeight="1" x14ac:dyDescent="0.2">
      <c r="B40" t="s">
        <v>112</v>
      </c>
      <c r="C40" s="12">
        <v>39</v>
      </c>
      <c r="D40" s="8">
        <v>1.58</v>
      </c>
      <c r="E40" s="12">
        <v>14</v>
      </c>
      <c r="F40" s="8">
        <v>1.37</v>
      </c>
      <c r="G40" s="12">
        <v>25</v>
      </c>
      <c r="H40" s="8">
        <v>1.75</v>
      </c>
      <c r="I40" s="12">
        <v>0</v>
      </c>
    </row>
    <row r="41" spans="2:9" ht="15" customHeight="1" x14ac:dyDescent="0.2">
      <c r="B41" t="s">
        <v>102</v>
      </c>
      <c r="C41" s="12">
        <v>39</v>
      </c>
      <c r="D41" s="8">
        <v>1.58</v>
      </c>
      <c r="E41" s="12">
        <v>0</v>
      </c>
      <c r="F41" s="8">
        <v>0</v>
      </c>
      <c r="G41" s="12">
        <v>38</v>
      </c>
      <c r="H41" s="8">
        <v>2.65</v>
      </c>
      <c r="I41" s="12">
        <v>0</v>
      </c>
    </row>
    <row r="42" spans="2:9" ht="15" customHeight="1" x14ac:dyDescent="0.2">
      <c r="B42" t="s">
        <v>104</v>
      </c>
      <c r="C42" s="12">
        <v>37</v>
      </c>
      <c r="D42" s="8">
        <v>1.5</v>
      </c>
      <c r="E42" s="12">
        <v>4</v>
      </c>
      <c r="F42" s="8">
        <v>0.39</v>
      </c>
      <c r="G42" s="12">
        <v>33</v>
      </c>
      <c r="H42" s="8">
        <v>2.2999999999999998</v>
      </c>
      <c r="I42" s="12">
        <v>0</v>
      </c>
    </row>
    <row r="43" spans="2:9" ht="15" customHeight="1" x14ac:dyDescent="0.2">
      <c r="B43" t="s">
        <v>93</v>
      </c>
      <c r="C43" s="12">
        <v>37</v>
      </c>
      <c r="D43" s="8">
        <v>1.5</v>
      </c>
      <c r="E43" s="12">
        <v>1</v>
      </c>
      <c r="F43" s="8">
        <v>0.1</v>
      </c>
      <c r="G43" s="12">
        <v>36</v>
      </c>
      <c r="H43" s="8">
        <v>2.5099999999999998</v>
      </c>
      <c r="I43" s="12">
        <v>0</v>
      </c>
    </row>
    <row r="44" spans="2:9" ht="15" customHeight="1" x14ac:dyDescent="0.2">
      <c r="B44" t="s">
        <v>99</v>
      </c>
      <c r="C44" s="12">
        <v>37</v>
      </c>
      <c r="D44" s="8">
        <v>1.5</v>
      </c>
      <c r="E44" s="12">
        <v>15</v>
      </c>
      <c r="F44" s="8">
        <v>1.47</v>
      </c>
      <c r="G44" s="12">
        <v>22</v>
      </c>
      <c r="H44" s="8">
        <v>1.54</v>
      </c>
      <c r="I44" s="12">
        <v>0</v>
      </c>
    </row>
    <row r="47" spans="2:9" ht="33" customHeight="1" x14ac:dyDescent="0.2">
      <c r="B47" t="s">
        <v>250</v>
      </c>
      <c r="C47" s="10" t="s">
        <v>77</v>
      </c>
      <c r="D47" s="10" t="s">
        <v>78</v>
      </c>
      <c r="E47" s="10" t="s">
        <v>79</v>
      </c>
      <c r="F47" s="10" t="s">
        <v>80</v>
      </c>
      <c r="G47" s="10" t="s">
        <v>81</v>
      </c>
      <c r="H47" s="10" t="s">
        <v>82</v>
      </c>
      <c r="I47" s="10" t="s">
        <v>83</v>
      </c>
    </row>
    <row r="48" spans="2:9" ht="15" customHeight="1" x14ac:dyDescent="0.2">
      <c r="B48" t="s">
        <v>164</v>
      </c>
      <c r="C48" s="12">
        <v>148</v>
      </c>
      <c r="D48" s="8">
        <v>6.01</v>
      </c>
      <c r="E48" s="12">
        <v>123</v>
      </c>
      <c r="F48" s="8">
        <v>12.04</v>
      </c>
      <c r="G48" s="12">
        <v>25</v>
      </c>
      <c r="H48" s="8">
        <v>1.75</v>
      </c>
      <c r="I48" s="12">
        <v>0</v>
      </c>
    </row>
    <row r="49" spans="2:9" ht="15" customHeight="1" x14ac:dyDescent="0.2">
      <c r="B49" t="s">
        <v>163</v>
      </c>
      <c r="C49" s="12">
        <v>93</v>
      </c>
      <c r="D49" s="8">
        <v>3.78</v>
      </c>
      <c r="E49" s="12">
        <v>86</v>
      </c>
      <c r="F49" s="8">
        <v>8.41</v>
      </c>
      <c r="G49" s="12">
        <v>7</v>
      </c>
      <c r="H49" s="8">
        <v>0.49</v>
      </c>
      <c r="I49" s="12">
        <v>0</v>
      </c>
    </row>
    <row r="50" spans="2:9" ht="15" customHeight="1" x14ac:dyDescent="0.2">
      <c r="B50" t="s">
        <v>158</v>
      </c>
      <c r="C50" s="12">
        <v>79</v>
      </c>
      <c r="D50" s="8">
        <v>3.21</v>
      </c>
      <c r="E50" s="12">
        <v>19</v>
      </c>
      <c r="F50" s="8">
        <v>1.86</v>
      </c>
      <c r="G50" s="12">
        <v>59</v>
      </c>
      <c r="H50" s="8">
        <v>4.12</v>
      </c>
      <c r="I50" s="12">
        <v>0</v>
      </c>
    </row>
    <row r="51" spans="2:9" ht="15" customHeight="1" x14ac:dyDescent="0.2">
      <c r="B51" t="s">
        <v>161</v>
      </c>
      <c r="C51" s="12">
        <v>77</v>
      </c>
      <c r="D51" s="8">
        <v>3.13</v>
      </c>
      <c r="E51" s="12">
        <v>58</v>
      </c>
      <c r="F51" s="8">
        <v>5.68</v>
      </c>
      <c r="G51" s="12">
        <v>19</v>
      </c>
      <c r="H51" s="8">
        <v>1.33</v>
      </c>
      <c r="I51" s="12">
        <v>0</v>
      </c>
    </row>
    <row r="52" spans="2:9" ht="15" customHeight="1" x14ac:dyDescent="0.2">
      <c r="B52" t="s">
        <v>166</v>
      </c>
      <c r="C52" s="12">
        <v>77</v>
      </c>
      <c r="D52" s="8">
        <v>3.13</v>
      </c>
      <c r="E52" s="12">
        <v>64</v>
      </c>
      <c r="F52" s="8">
        <v>6.26</v>
      </c>
      <c r="G52" s="12">
        <v>13</v>
      </c>
      <c r="H52" s="8">
        <v>0.91</v>
      </c>
      <c r="I52" s="12">
        <v>0</v>
      </c>
    </row>
    <row r="53" spans="2:9" ht="15" customHeight="1" x14ac:dyDescent="0.2">
      <c r="B53" t="s">
        <v>165</v>
      </c>
      <c r="C53" s="12">
        <v>76</v>
      </c>
      <c r="D53" s="8">
        <v>3.09</v>
      </c>
      <c r="E53" s="12">
        <v>53</v>
      </c>
      <c r="F53" s="8">
        <v>5.19</v>
      </c>
      <c r="G53" s="12">
        <v>23</v>
      </c>
      <c r="H53" s="8">
        <v>1.61</v>
      </c>
      <c r="I53" s="12">
        <v>0</v>
      </c>
    </row>
    <row r="54" spans="2:9" ht="15" customHeight="1" x14ac:dyDescent="0.2">
      <c r="B54" t="s">
        <v>162</v>
      </c>
      <c r="C54" s="12">
        <v>67</v>
      </c>
      <c r="D54" s="8">
        <v>2.72</v>
      </c>
      <c r="E54" s="12">
        <v>61</v>
      </c>
      <c r="F54" s="8">
        <v>5.97</v>
      </c>
      <c r="G54" s="12">
        <v>6</v>
      </c>
      <c r="H54" s="8">
        <v>0.42</v>
      </c>
      <c r="I54" s="12">
        <v>0</v>
      </c>
    </row>
    <row r="55" spans="2:9" ht="15" customHeight="1" x14ac:dyDescent="0.2">
      <c r="B55" t="s">
        <v>155</v>
      </c>
      <c r="C55" s="12">
        <v>51</v>
      </c>
      <c r="D55" s="8">
        <v>2.0699999999999998</v>
      </c>
      <c r="E55" s="12">
        <v>10</v>
      </c>
      <c r="F55" s="8">
        <v>0.98</v>
      </c>
      <c r="G55" s="12">
        <v>41</v>
      </c>
      <c r="H55" s="8">
        <v>2.86</v>
      </c>
      <c r="I55" s="12">
        <v>0</v>
      </c>
    </row>
    <row r="56" spans="2:9" ht="15" customHeight="1" x14ac:dyDescent="0.2">
      <c r="B56" t="s">
        <v>167</v>
      </c>
      <c r="C56" s="12">
        <v>49</v>
      </c>
      <c r="D56" s="8">
        <v>1.99</v>
      </c>
      <c r="E56" s="12">
        <v>24</v>
      </c>
      <c r="F56" s="8">
        <v>2.35</v>
      </c>
      <c r="G56" s="12">
        <v>25</v>
      </c>
      <c r="H56" s="8">
        <v>1.75</v>
      </c>
      <c r="I56" s="12">
        <v>0</v>
      </c>
    </row>
    <row r="57" spans="2:9" ht="15" customHeight="1" x14ac:dyDescent="0.2">
      <c r="B57" t="s">
        <v>156</v>
      </c>
      <c r="C57" s="12">
        <v>44</v>
      </c>
      <c r="D57" s="8">
        <v>1.79</v>
      </c>
      <c r="E57" s="12">
        <v>20</v>
      </c>
      <c r="F57" s="8">
        <v>1.96</v>
      </c>
      <c r="G57" s="12">
        <v>24</v>
      </c>
      <c r="H57" s="8">
        <v>1.68</v>
      </c>
      <c r="I57" s="12">
        <v>0</v>
      </c>
    </row>
    <row r="58" spans="2:9" ht="15" customHeight="1" x14ac:dyDescent="0.2">
      <c r="B58" t="s">
        <v>157</v>
      </c>
      <c r="C58" s="12">
        <v>42</v>
      </c>
      <c r="D58" s="8">
        <v>1.71</v>
      </c>
      <c r="E58" s="12">
        <v>1</v>
      </c>
      <c r="F58" s="8">
        <v>0.1</v>
      </c>
      <c r="G58" s="12">
        <v>41</v>
      </c>
      <c r="H58" s="8">
        <v>2.86</v>
      </c>
      <c r="I58" s="12">
        <v>0</v>
      </c>
    </row>
    <row r="59" spans="2:9" ht="15" customHeight="1" x14ac:dyDescent="0.2">
      <c r="B59" t="s">
        <v>160</v>
      </c>
      <c r="C59" s="12">
        <v>42</v>
      </c>
      <c r="D59" s="8">
        <v>1.71</v>
      </c>
      <c r="E59" s="12">
        <v>12</v>
      </c>
      <c r="F59" s="8">
        <v>1.17</v>
      </c>
      <c r="G59" s="12">
        <v>30</v>
      </c>
      <c r="H59" s="8">
        <v>2.09</v>
      </c>
      <c r="I59" s="12">
        <v>0</v>
      </c>
    </row>
    <row r="60" spans="2:9" ht="15" customHeight="1" x14ac:dyDescent="0.2">
      <c r="B60" t="s">
        <v>195</v>
      </c>
      <c r="C60" s="12">
        <v>40</v>
      </c>
      <c r="D60" s="8">
        <v>1.62</v>
      </c>
      <c r="E60" s="12">
        <v>33</v>
      </c>
      <c r="F60" s="8">
        <v>3.23</v>
      </c>
      <c r="G60" s="12">
        <v>7</v>
      </c>
      <c r="H60" s="8">
        <v>0.49</v>
      </c>
      <c r="I60" s="12">
        <v>0</v>
      </c>
    </row>
    <row r="61" spans="2:9" ht="15" customHeight="1" x14ac:dyDescent="0.2">
      <c r="B61" t="s">
        <v>154</v>
      </c>
      <c r="C61" s="12">
        <v>39</v>
      </c>
      <c r="D61" s="8">
        <v>1.58</v>
      </c>
      <c r="E61" s="12">
        <v>17</v>
      </c>
      <c r="F61" s="8">
        <v>1.66</v>
      </c>
      <c r="G61" s="12">
        <v>22</v>
      </c>
      <c r="H61" s="8">
        <v>1.54</v>
      </c>
      <c r="I61" s="12">
        <v>0</v>
      </c>
    </row>
    <row r="62" spans="2:9" ht="15" customHeight="1" x14ac:dyDescent="0.2">
      <c r="B62" t="s">
        <v>151</v>
      </c>
      <c r="C62" s="12">
        <v>38</v>
      </c>
      <c r="D62" s="8">
        <v>1.54</v>
      </c>
      <c r="E62" s="12">
        <v>5</v>
      </c>
      <c r="F62" s="8">
        <v>0.49</v>
      </c>
      <c r="G62" s="12">
        <v>33</v>
      </c>
      <c r="H62" s="8">
        <v>2.2999999999999998</v>
      </c>
      <c r="I62" s="12">
        <v>0</v>
      </c>
    </row>
    <row r="63" spans="2:9" ht="15" customHeight="1" x14ac:dyDescent="0.2">
      <c r="B63" t="s">
        <v>180</v>
      </c>
      <c r="C63" s="12">
        <v>38</v>
      </c>
      <c r="D63" s="8">
        <v>1.54</v>
      </c>
      <c r="E63" s="12">
        <v>26</v>
      </c>
      <c r="F63" s="8">
        <v>2.54</v>
      </c>
      <c r="G63" s="12">
        <v>12</v>
      </c>
      <c r="H63" s="8">
        <v>0.84</v>
      </c>
      <c r="I63" s="12">
        <v>0</v>
      </c>
    </row>
    <row r="64" spans="2:9" ht="15" customHeight="1" x14ac:dyDescent="0.2">
      <c r="B64" t="s">
        <v>148</v>
      </c>
      <c r="C64" s="12">
        <v>36</v>
      </c>
      <c r="D64" s="8">
        <v>1.46</v>
      </c>
      <c r="E64" s="12">
        <v>0</v>
      </c>
      <c r="F64" s="8">
        <v>0</v>
      </c>
      <c r="G64" s="12">
        <v>36</v>
      </c>
      <c r="H64" s="8">
        <v>2.5099999999999998</v>
      </c>
      <c r="I64" s="12">
        <v>0</v>
      </c>
    </row>
    <row r="65" spans="2:9" ht="15" customHeight="1" x14ac:dyDescent="0.2">
      <c r="B65" t="s">
        <v>150</v>
      </c>
      <c r="C65" s="12">
        <v>35</v>
      </c>
      <c r="D65" s="8">
        <v>1.42</v>
      </c>
      <c r="E65" s="12">
        <v>12</v>
      </c>
      <c r="F65" s="8">
        <v>1.17</v>
      </c>
      <c r="G65" s="12">
        <v>23</v>
      </c>
      <c r="H65" s="8">
        <v>1.61</v>
      </c>
      <c r="I65" s="12">
        <v>0</v>
      </c>
    </row>
    <row r="66" spans="2:9" ht="15" customHeight="1" x14ac:dyDescent="0.2">
      <c r="B66" t="s">
        <v>168</v>
      </c>
      <c r="C66" s="12">
        <v>34</v>
      </c>
      <c r="D66" s="8">
        <v>1.38</v>
      </c>
      <c r="E66" s="12">
        <v>12</v>
      </c>
      <c r="F66" s="8">
        <v>1.17</v>
      </c>
      <c r="G66" s="12">
        <v>21</v>
      </c>
      <c r="H66" s="8">
        <v>1.47</v>
      </c>
      <c r="I66" s="12">
        <v>1</v>
      </c>
    </row>
    <row r="67" spans="2:9" ht="15" customHeight="1" x14ac:dyDescent="0.2">
      <c r="B67" t="s">
        <v>149</v>
      </c>
      <c r="C67" s="12">
        <v>32</v>
      </c>
      <c r="D67" s="8">
        <v>1.3</v>
      </c>
      <c r="E67" s="12">
        <v>4</v>
      </c>
      <c r="F67" s="8">
        <v>0.39</v>
      </c>
      <c r="G67" s="12">
        <v>28</v>
      </c>
      <c r="H67" s="8">
        <v>1.96</v>
      </c>
      <c r="I67" s="12">
        <v>0</v>
      </c>
    </row>
    <row r="68" spans="2:9" ht="15" customHeight="1" x14ac:dyDescent="0.2">
      <c r="B68" t="s">
        <v>153</v>
      </c>
      <c r="C68" s="12">
        <v>32</v>
      </c>
      <c r="D68" s="8">
        <v>1.3</v>
      </c>
      <c r="E68" s="12">
        <v>6</v>
      </c>
      <c r="F68" s="8">
        <v>0.59</v>
      </c>
      <c r="G68" s="12">
        <v>26</v>
      </c>
      <c r="H68" s="8">
        <v>1.82</v>
      </c>
      <c r="I68" s="12">
        <v>0</v>
      </c>
    </row>
    <row r="70" spans="2:9" ht="15" customHeight="1" x14ac:dyDescent="0.2">
      <c r="B70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FCA6D-8B92-42F2-A031-542D458FEB5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269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1</v>
      </c>
      <c r="D5" s="8">
        <v>0.08</v>
      </c>
      <c r="E5" s="12">
        <v>0</v>
      </c>
      <c r="F5" s="8">
        <v>0</v>
      </c>
      <c r="G5" s="12">
        <v>1</v>
      </c>
      <c r="H5" s="8">
        <v>0.15</v>
      </c>
      <c r="I5" s="12">
        <v>0</v>
      </c>
    </row>
    <row r="6" spans="2:9" ht="15" customHeight="1" x14ac:dyDescent="0.2">
      <c r="B6" t="s">
        <v>62</v>
      </c>
      <c r="C6" s="12">
        <v>230</v>
      </c>
      <c r="D6" s="8">
        <v>17.61</v>
      </c>
      <c r="E6" s="12">
        <v>56</v>
      </c>
      <c r="F6" s="8">
        <v>9.02</v>
      </c>
      <c r="G6" s="12">
        <v>174</v>
      </c>
      <c r="H6" s="8">
        <v>26.28</v>
      </c>
      <c r="I6" s="12">
        <v>0</v>
      </c>
    </row>
    <row r="7" spans="2:9" ht="15" customHeight="1" x14ac:dyDescent="0.2">
      <c r="B7" t="s">
        <v>63</v>
      </c>
      <c r="C7" s="12">
        <v>83</v>
      </c>
      <c r="D7" s="8">
        <v>6.36</v>
      </c>
      <c r="E7" s="12">
        <v>26</v>
      </c>
      <c r="F7" s="8">
        <v>4.1900000000000004</v>
      </c>
      <c r="G7" s="12">
        <v>57</v>
      </c>
      <c r="H7" s="8">
        <v>8.61</v>
      </c>
      <c r="I7" s="12">
        <v>0</v>
      </c>
    </row>
    <row r="8" spans="2:9" ht="15" customHeight="1" x14ac:dyDescent="0.2">
      <c r="B8" t="s">
        <v>64</v>
      </c>
      <c r="C8" s="12">
        <v>2</v>
      </c>
      <c r="D8" s="8">
        <v>0.15</v>
      </c>
      <c r="E8" s="12">
        <v>0</v>
      </c>
      <c r="F8" s="8">
        <v>0</v>
      </c>
      <c r="G8" s="12">
        <v>2</v>
      </c>
      <c r="H8" s="8">
        <v>0.3</v>
      </c>
      <c r="I8" s="12">
        <v>0</v>
      </c>
    </row>
    <row r="9" spans="2:9" ht="15" customHeight="1" x14ac:dyDescent="0.2">
      <c r="B9" t="s">
        <v>65</v>
      </c>
      <c r="C9" s="12">
        <v>11</v>
      </c>
      <c r="D9" s="8">
        <v>0.84</v>
      </c>
      <c r="E9" s="12">
        <v>0</v>
      </c>
      <c r="F9" s="8">
        <v>0</v>
      </c>
      <c r="G9" s="12">
        <v>11</v>
      </c>
      <c r="H9" s="8">
        <v>1.66</v>
      </c>
      <c r="I9" s="12">
        <v>0</v>
      </c>
    </row>
    <row r="10" spans="2:9" ht="15" customHeight="1" x14ac:dyDescent="0.2">
      <c r="B10" t="s">
        <v>66</v>
      </c>
      <c r="C10" s="12">
        <v>9</v>
      </c>
      <c r="D10" s="8">
        <v>0.69</v>
      </c>
      <c r="E10" s="12">
        <v>2</v>
      </c>
      <c r="F10" s="8">
        <v>0.32</v>
      </c>
      <c r="G10" s="12">
        <v>7</v>
      </c>
      <c r="H10" s="8">
        <v>1.06</v>
      </c>
      <c r="I10" s="12">
        <v>0</v>
      </c>
    </row>
    <row r="11" spans="2:9" ht="15" customHeight="1" x14ac:dyDescent="0.2">
      <c r="B11" t="s">
        <v>67</v>
      </c>
      <c r="C11" s="12">
        <v>262</v>
      </c>
      <c r="D11" s="8">
        <v>20.059999999999999</v>
      </c>
      <c r="E11" s="12">
        <v>101</v>
      </c>
      <c r="F11" s="8">
        <v>16.260000000000002</v>
      </c>
      <c r="G11" s="12">
        <v>160</v>
      </c>
      <c r="H11" s="8">
        <v>24.17</v>
      </c>
      <c r="I11" s="12">
        <v>1</v>
      </c>
    </row>
    <row r="12" spans="2:9" ht="15" customHeight="1" x14ac:dyDescent="0.2">
      <c r="B12" t="s">
        <v>68</v>
      </c>
      <c r="C12" s="12">
        <v>13</v>
      </c>
      <c r="D12" s="8">
        <v>1</v>
      </c>
      <c r="E12" s="12">
        <v>4</v>
      </c>
      <c r="F12" s="8">
        <v>0.64</v>
      </c>
      <c r="G12" s="12">
        <v>9</v>
      </c>
      <c r="H12" s="8">
        <v>1.36</v>
      </c>
      <c r="I12" s="12">
        <v>0</v>
      </c>
    </row>
    <row r="13" spans="2:9" ht="15" customHeight="1" x14ac:dyDescent="0.2">
      <c r="B13" t="s">
        <v>69</v>
      </c>
      <c r="C13" s="12">
        <v>124</v>
      </c>
      <c r="D13" s="8">
        <v>9.49</v>
      </c>
      <c r="E13" s="12">
        <v>37</v>
      </c>
      <c r="F13" s="8">
        <v>5.96</v>
      </c>
      <c r="G13" s="12">
        <v>87</v>
      </c>
      <c r="H13" s="8">
        <v>13.14</v>
      </c>
      <c r="I13" s="12">
        <v>0</v>
      </c>
    </row>
    <row r="14" spans="2:9" ht="15" customHeight="1" x14ac:dyDescent="0.2">
      <c r="B14" t="s">
        <v>70</v>
      </c>
      <c r="C14" s="12">
        <v>50</v>
      </c>
      <c r="D14" s="8">
        <v>3.83</v>
      </c>
      <c r="E14" s="12">
        <v>32</v>
      </c>
      <c r="F14" s="8">
        <v>5.15</v>
      </c>
      <c r="G14" s="12">
        <v>18</v>
      </c>
      <c r="H14" s="8">
        <v>2.72</v>
      </c>
      <c r="I14" s="12">
        <v>0</v>
      </c>
    </row>
    <row r="15" spans="2:9" ht="15" customHeight="1" x14ac:dyDescent="0.2">
      <c r="B15" t="s">
        <v>71</v>
      </c>
      <c r="C15" s="12">
        <v>157</v>
      </c>
      <c r="D15" s="8">
        <v>12.02</v>
      </c>
      <c r="E15" s="12">
        <v>123</v>
      </c>
      <c r="F15" s="8">
        <v>19.809999999999999</v>
      </c>
      <c r="G15" s="12">
        <v>34</v>
      </c>
      <c r="H15" s="8">
        <v>5.14</v>
      </c>
      <c r="I15" s="12">
        <v>0</v>
      </c>
    </row>
    <row r="16" spans="2:9" ht="15" customHeight="1" x14ac:dyDescent="0.2">
      <c r="B16" t="s">
        <v>72</v>
      </c>
      <c r="C16" s="12">
        <v>176</v>
      </c>
      <c r="D16" s="8">
        <v>13.48</v>
      </c>
      <c r="E16" s="12">
        <v>135</v>
      </c>
      <c r="F16" s="8">
        <v>21.74</v>
      </c>
      <c r="G16" s="12">
        <v>41</v>
      </c>
      <c r="H16" s="8">
        <v>6.19</v>
      </c>
      <c r="I16" s="12">
        <v>0</v>
      </c>
    </row>
    <row r="17" spans="2:9" ht="15" customHeight="1" x14ac:dyDescent="0.2">
      <c r="B17" t="s">
        <v>73</v>
      </c>
      <c r="C17" s="12">
        <v>49</v>
      </c>
      <c r="D17" s="8">
        <v>3.75</v>
      </c>
      <c r="E17" s="12">
        <v>32</v>
      </c>
      <c r="F17" s="8">
        <v>5.15</v>
      </c>
      <c r="G17" s="12">
        <v>6</v>
      </c>
      <c r="H17" s="8">
        <v>0.91</v>
      </c>
      <c r="I17" s="12">
        <v>0</v>
      </c>
    </row>
    <row r="18" spans="2:9" ht="15" customHeight="1" x14ac:dyDescent="0.2">
      <c r="B18" t="s">
        <v>74</v>
      </c>
      <c r="C18" s="12">
        <v>67</v>
      </c>
      <c r="D18" s="8">
        <v>5.13</v>
      </c>
      <c r="E18" s="12">
        <v>38</v>
      </c>
      <c r="F18" s="8">
        <v>6.12</v>
      </c>
      <c r="G18" s="12">
        <v>19</v>
      </c>
      <c r="H18" s="8">
        <v>2.87</v>
      </c>
      <c r="I18" s="12">
        <v>0</v>
      </c>
    </row>
    <row r="19" spans="2:9" ht="15" customHeight="1" x14ac:dyDescent="0.2">
      <c r="B19" t="s">
        <v>75</v>
      </c>
      <c r="C19" s="12">
        <v>72</v>
      </c>
      <c r="D19" s="8">
        <v>5.51</v>
      </c>
      <c r="E19" s="12">
        <v>35</v>
      </c>
      <c r="F19" s="8">
        <v>5.64</v>
      </c>
      <c r="G19" s="12">
        <v>36</v>
      </c>
      <c r="H19" s="8">
        <v>5.44</v>
      </c>
      <c r="I19" s="12">
        <v>0</v>
      </c>
    </row>
    <row r="20" spans="2:9" ht="15" customHeight="1" x14ac:dyDescent="0.2">
      <c r="B20" s="9" t="s">
        <v>248</v>
      </c>
      <c r="C20" s="12">
        <f>SUM(LTBL_12213[総数／事業所数])</f>
        <v>1306</v>
      </c>
      <c r="E20" s="12">
        <f>SUBTOTAL(109,LTBL_12213[個人／事業所数])</f>
        <v>621</v>
      </c>
      <c r="G20" s="12">
        <f>SUBTOTAL(109,LTBL_12213[法人／事業所数])</f>
        <v>662</v>
      </c>
      <c r="I20" s="12">
        <f>SUBTOTAL(109,LTBL_12213[法人以外の団体／事業所数])</f>
        <v>1</v>
      </c>
    </row>
    <row r="21" spans="2:9" ht="15" customHeight="1" x14ac:dyDescent="0.2">
      <c r="E21" s="11">
        <f>LTBL_12213[[#Totals],[個人／事業所数]]/LTBL_12213[[#Totals],[総数／事業所数]]</f>
        <v>0.47549770290964777</v>
      </c>
      <c r="G21" s="11">
        <f>LTBL_12213[[#Totals],[法人／事業所数]]/LTBL_12213[[#Totals],[総数／事業所数]]</f>
        <v>0.50689127105666154</v>
      </c>
      <c r="I21" s="11">
        <f>LTBL_12213[[#Totals],[法人以外の団体／事業所数]]/LTBL_12213[[#Totals],[総数／事業所数]]</f>
        <v>7.6569678407350692E-4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145</v>
      </c>
      <c r="D24" s="8">
        <v>11.1</v>
      </c>
      <c r="E24" s="12">
        <v>124</v>
      </c>
      <c r="F24" s="8">
        <v>19.97</v>
      </c>
      <c r="G24" s="12">
        <v>21</v>
      </c>
      <c r="H24" s="8">
        <v>3.17</v>
      </c>
      <c r="I24" s="12">
        <v>0</v>
      </c>
    </row>
    <row r="25" spans="2:9" ht="15" customHeight="1" x14ac:dyDescent="0.2">
      <c r="B25" t="s">
        <v>97</v>
      </c>
      <c r="C25" s="12">
        <v>144</v>
      </c>
      <c r="D25" s="8">
        <v>11.03</v>
      </c>
      <c r="E25" s="12">
        <v>119</v>
      </c>
      <c r="F25" s="8">
        <v>19.16</v>
      </c>
      <c r="G25" s="12">
        <v>25</v>
      </c>
      <c r="H25" s="8">
        <v>3.78</v>
      </c>
      <c r="I25" s="12">
        <v>0</v>
      </c>
    </row>
    <row r="26" spans="2:9" ht="15" customHeight="1" x14ac:dyDescent="0.2">
      <c r="B26" t="s">
        <v>84</v>
      </c>
      <c r="C26" s="12">
        <v>98</v>
      </c>
      <c r="D26" s="8">
        <v>7.5</v>
      </c>
      <c r="E26" s="12">
        <v>26</v>
      </c>
      <c r="F26" s="8">
        <v>4.1900000000000004</v>
      </c>
      <c r="G26" s="12">
        <v>72</v>
      </c>
      <c r="H26" s="8">
        <v>10.88</v>
      </c>
      <c r="I26" s="12">
        <v>0</v>
      </c>
    </row>
    <row r="27" spans="2:9" ht="15" customHeight="1" x14ac:dyDescent="0.2">
      <c r="B27" t="s">
        <v>94</v>
      </c>
      <c r="C27" s="12">
        <v>89</v>
      </c>
      <c r="D27" s="8">
        <v>6.81</v>
      </c>
      <c r="E27" s="12">
        <v>34</v>
      </c>
      <c r="F27" s="8">
        <v>5.48</v>
      </c>
      <c r="G27" s="12">
        <v>55</v>
      </c>
      <c r="H27" s="8">
        <v>8.31</v>
      </c>
      <c r="I27" s="12">
        <v>0</v>
      </c>
    </row>
    <row r="28" spans="2:9" ht="15" customHeight="1" x14ac:dyDescent="0.2">
      <c r="B28" t="s">
        <v>85</v>
      </c>
      <c r="C28" s="12">
        <v>77</v>
      </c>
      <c r="D28" s="8">
        <v>5.9</v>
      </c>
      <c r="E28" s="12">
        <v>20</v>
      </c>
      <c r="F28" s="8">
        <v>3.22</v>
      </c>
      <c r="G28" s="12">
        <v>57</v>
      </c>
      <c r="H28" s="8">
        <v>8.61</v>
      </c>
      <c r="I28" s="12">
        <v>0</v>
      </c>
    </row>
    <row r="29" spans="2:9" ht="15" customHeight="1" x14ac:dyDescent="0.2">
      <c r="B29" t="s">
        <v>92</v>
      </c>
      <c r="C29" s="12">
        <v>74</v>
      </c>
      <c r="D29" s="8">
        <v>5.67</v>
      </c>
      <c r="E29" s="12">
        <v>35</v>
      </c>
      <c r="F29" s="8">
        <v>5.64</v>
      </c>
      <c r="G29" s="12">
        <v>39</v>
      </c>
      <c r="H29" s="8">
        <v>5.89</v>
      </c>
      <c r="I29" s="12">
        <v>0</v>
      </c>
    </row>
    <row r="30" spans="2:9" ht="15" customHeight="1" x14ac:dyDescent="0.2">
      <c r="B30" t="s">
        <v>86</v>
      </c>
      <c r="C30" s="12">
        <v>55</v>
      </c>
      <c r="D30" s="8">
        <v>4.21</v>
      </c>
      <c r="E30" s="12">
        <v>10</v>
      </c>
      <c r="F30" s="8">
        <v>1.61</v>
      </c>
      <c r="G30" s="12">
        <v>45</v>
      </c>
      <c r="H30" s="8">
        <v>6.8</v>
      </c>
      <c r="I30" s="12">
        <v>0</v>
      </c>
    </row>
    <row r="31" spans="2:9" ht="15" customHeight="1" x14ac:dyDescent="0.2">
      <c r="B31" t="s">
        <v>100</v>
      </c>
      <c r="C31" s="12">
        <v>49</v>
      </c>
      <c r="D31" s="8">
        <v>3.75</v>
      </c>
      <c r="E31" s="12">
        <v>32</v>
      </c>
      <c r="F31" s="8">
        <v>5.15</v>
      </c>
      <c r="G31" s="12">
        <v>6</v>
      </c>
      <c r="H31" s="8">
        <v>0.91</v>
      </c>
      <c r="I31" s="12">
        <v>0</v>
      </c>
    </row>
    <row r="32" spans="2:9" ht="15" customHeight="1" x14ac:dyDescent="0.2">
      <c r="B32" t="s">
        <v>101</v>
      </c>
      <c r="C32" s="12">
        <v>44</v>
      </c>
      <c r="D32" s="8">
        <v>3.37</v>
      </c>
      <c r="E32" s="12">
        <v>38</v>
      </c>
      <c r="F32" s="8">
        <v>6.12</v>
      </c>
      <c r="G32" s="12">
        <v>6</v>
      </c>
      <c r="H32" s="8">
        <v>0.91</v>
      </c>
      <c r="I32" s="12">
        <v>0</v>
      </c>
    </row>
    <row r="33" spans="2:9" ht="15" customHeight="1" x14ac:dyDescent="0.2">
      <c r="B33" t="s">
        <v>103</v>
      </c>
      <c r="C33" s="12">
        <v>44</v>
      </c>
      <c r="D33" s="8">
        <v>3.37</v>
      </c>
      <c r="E33" s="12">
        <v>31</v>
      </c>
      <c r="F33" s="8">
        <v>4.99</v>
      </c>
      <c r="G33" s="12">
        <v>13</v>
      </c>
      <c r="H33" s="8">
        <v>1.96</v>
      </c>
      <c r="I33" s="12">
        <v>0</v>
      </c>
    </row>
    <row r="34" spans="2:9" ht="15" customHeight="1" x14ac:dyDescent="0.2">
      <c r="B34" t="s">
        <v>90</v>
      </c>
      <c r="C34" s="12">
        <v>41</v>
      </c>
      <c r="D34" s="8">
        <v>3.14</v>
      </c>
      <c r="E34" s="12">
        <v>28</v>
      </c>
      <c r="F34" s="8">
        <v>4.51</v>
      </c>
      <c r="G34" s="12">
        <v>13</v>
      </c>
      <c r="H34" s="8">
        <v>1.96</v>
      </c>
      <c r="I34" s="12">
        <v>0</v>
      </c>
    </row>
    <row r="35" spans="2:9" ht="15" customHeight="1" x14ac:dyDescent="0.2">
      <c r="B35" t="s">
        <v>91</v>
      </c>
      <c r="C35" s="12">
        <v>36</v>
      </c>
      <c r="D35" s="8">
        <v>2.76</v>
      </c>
      <c r="E35" s="12">
        <v>16</v>
      </c>
      <c r="F35" s="8">
        <v>2.58</v>
      </c>
      <c r="G35" s="12">
        <v>20</v>
      </c>
      <c r="H35" s="8">
        <v>3.02</v>
      </c>
      <c r="I35" s="12">
        <v>0</v>
      </c>
    </row>
    <row r="36" spans="2:9" ht="15" customHeight="1" x14ac:dyDescent="0.2">
      <c r="B36" t="s">
        <v>89</v>
      </c>
      <c r="C36" s="12">
        <v>30</v>
      </c>
      <c r="D36" s="8">
        <v>2.2999999999999998</v>
      </c>
      <c r="E36" s="12">
        <v>12</v>
      </c>
      <c r="F36" s="8">
        <v>1.93</v>
      </c>
      <c r="G36" s="12">
        <v>17</v>
      </c>
      <c r="H36" s="8">
        <v>2.57</v>
      </c>
      <c r="I36" s="12">
        <v>1</v>
      </c>
    </row>
    <row r="37" spans="2:9" ht="15" customHeight="1" x14ac:dyDescent="0.2">
      <c r="B37" t="s">
        <v>95</v>
      </c>
      <c r="C37" s="12">
        <v>29</v>
      </c>
      <c r="D37" s="8">
        <v>2.2200000000000002</v>
      </c>
      <c r="E37" s="12">
        <v>21</v>
      </c>
      <c r="F37" s="8">
        <v>3.38</v>
      </c>
      <c r="G37" s="12">
        <v>8</v>
      </c>
      <c r="H37" s="8">
        <v>1.21</v>
      </c>
      <c r="I37" s="12">
        <v>0</v>
      </c>
    </row>
    <row r="38" spans="2:9" ht="15" customHeight="1" x14ac:dyDescent="0.2">
      <c r="B38" t="s">
        <v>93</v>
      </c>
      <c r="C38" s="12">
        <v>28</v>
      </c>
      <c r="D38" s="8">
        <v>2.14</v>
      </c>
      <c r="E38" s="12">
        <v>2</v>
      </c>
      <c r="F38" s="8">
        <v>0.32</v>
      </c>
      <c r="G38" s="12">
        <v>26</v>
      </c>
      <c r="H38" s="8">
        <v>3.93</v>
      </c>
      <c r="I38" s="12">
        <v>0</v>
      </c>
    </row>
    <row r="39" spans="2:9" ht="15" customHeight="1" x14ac:dyDescent="0.2">
      <c r="B39" t="s">
        <v>87</v>
      </c>
      <c r="C39" s="12">
        <v>25</v>
      </c>
      <c r="D39" s="8">
        <v>1.91</v>
      </c>
      <c r="E39" s="12">
        <v>5</v>
      </c>
      <c r="F39" s="8">
        <v>0.81</v>
      </c>
      <c r="G39" s="12">
        <v>20</v>
      </c>
      <c r="H39" s="8">
        <v>3.02</v>
      </c>
      <c r="I39" s="12">
        <v>0</v>
      </c>
    </row>
    <row r="40" spans="2:9" ht="15" customHeight="1" x14ac:dyDescent="0.2">
      <c r="B40" t="s">
        <v>102</v>
      </c>
      <c r="C40" s="12">
        <v>23</v>
      </c>
      <c r="D40" s="8">
        <v>1.76</v>
      </c>
      <c r="E40" s="12">
        <v>0</v>
      </c>
      <c r="F40" s="8">
        <v>0</v>
      </c>
      <c r="G40" s="12">
        <v>13</v>
      </c>
      <c r="H40" s="8">
        <v>1.96</v>
      </c>
      <c r="I40" s="12">
        <v>0</v>
      </c>
    </row>
    <row r="41" spans="2:9" ht="15" customHeight="1" x14ac:dyDescent="0.2">
      <c r="B41" t="s">
        <v>96</v>
      </c>
      <c r="C41" s="12">
        <v>21</v>
      </c>
      <c r="D41" s="8">
        <v>1.61</v>
      </c>
      <c r="E41" s="12">
        <v>11</v>
      </c>
      <c r="F41" s="8">
        <v>1.77</v>
      </c>
      <c r="G41" s="12">
        <v>10</v>
      </c>
      <c r="H41" s="8">
        <v>1.51</v>
      </c>
      <c r="I41" s="12">
        <v>0</v>
      </c>
    </row>
    <row r="42" spans="2:9" ht="15" customHeight="1" x14ac:dyDescent="0.2">
      <c r="B42" t="s">
        <v>99</v>
      </c>
      <c r="C42" s="12">
        <v>21</v>
      </c>
      <c r="D42" s="8">
        <v>1.61</v>
      </c>
      <c r="E42" s="12">
        <v>6</v>
      </c>
      <c r="F42" s="8">
        <v>0.97</v>
      </c>
      <c r="G42" s="12">
        <v>15</v>
      </c>
      <c r="H42" s="8">
        <v>2.27</v>
      </c>
      <c r="I42" s="12">
        <v>0</v>
      </c>
    </row>
    <row r="43" spans="2:9" ht="15" customHeight="1" x14ac:dyDescent="0.2">
      <c r="B43" t="s">
        <v>104</v>
      </c>
      <c r="C43" s="12">
        <v>17</v>
      </c>
      <c r="D43" s="8">
        <v>1.3</v>
      </c>
      <c r="E43" s="12">
        <v>1</v>
      </c>
      <c r="F43" s="8">
        <v>0.16</v>
      </c>
      <c r="G43" s="12">
        <v>16</v>
      </c>
      <c r="H43" s="8">
        <v>2.42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69</v>
      </c>
      <c r="D47" s="8">
        <v>5.28</v>
      </c>
      <c r="E47" s="12">
        <v>62</v>
      </c>
      <c r="F47" s="8">
        <v>9.98</v>
      </c>
      <c r="G47" s="12">
        <v>7</v>
      </c>
      <c r="H47" s="8">
        <v>1.06</v>
      </c>
      <c r="I47" s="12">
        <v>0</v>
      </c>
    </row>
    <row r="48" spans="2:9" ht="15" customHeight="1" x14ac:dyDescent="0.2">
      <c r="B48" t="s">
        <v>162</v>
      </c>
      <c r="C48" s="12">
        <v>58</v>
      </c>
      <c r="D48" s="8">
        <v>4.4400000000000004</v>
      </c>
      <c r="E48" s="12">
        <v>54</v>
      </c>
      <c r="F48" s="8">
        <v>8.6999999999999993</v>
      </c>
      <c r="G48" s="12">
        <v>4</v>
      </c>
      <c r="H48" s="8">
        <v>0.6</v>
      </c>
      <c r="I48" s="12">
        <v>0</v>
      </c>
    </row>
    <row r="49" spans="2:9" ht="15" customHeight="1" x14ac:dyDescent="0.2">
      <c r="B49" t="s">
        <v>163</v>
      </c>
      <c r="C49" s="12">
        <v>54</v>
      </c>
      <c r="D49" s="8">
        <v>4.13</v>
      </c>
      <c r="E49" s="12">
        <v>51</v>
      </c>
      <c r="F49" s="8">
        <v>8.2100000000000009</v>
      </c>
      <c r="G49" s="12">
        <v>3</v>
      </c>
      <c r="H49" s="8">
        <v>0.45</v>
      </c>
      <c r="I49" s="12">
        <v>0</v>
      </c>
    </row>
    <row r="50" spans="2:9" ht="15" customHeight="1" x14ac:dyDescent="0.2">
      <c r="B50" t="s">
        <v>158</v>
      </c>
      <c r="C50" s="12">
        <v>51</v>
      </c>
      <c r="D50" s="8">
        <v>3.91</v>
      </c>
      <c r="E50" s="12">
        <v>27</v>
      </c>
      <c r="F50" s="8">
        <v>4.3499999999999996</v>
      </c>
      <c r="G50" s="12">
        <v>24</v>
      </c>
      <c r="H50" s="8">
        <v>3.63</v>
      </c>
      <c r="I50" s="12">
        <v>0</v>
      </c>
    </row>
    <row r="51" spans="2:9" ht="15" customHeight="1" x14ac:dyDescent="0.2">
      <c r="B51" t="s">
        <v>167</v>
      </c>
      <c r="C51" s="12">
        <v>44</v>
      </c>
      <c r="D51" s="8">
        <v>3.37</v>
      </c>
      <c r="E51" s="12">
        <v>31</v>
      </c>
      <c r="F51" s="8">
        <v>4.99</v>
      </c>
      <c r="G51" s="12">
        <v>13</v>
      </c>
      <c r="H51" s="8">
        <v>1.96</v>
      </c>
      <c r="I51" s="12">
        <v>0</v>
      </c>
    </row>
    <row r="52" spans="2:9" ht="15" customHeight="1" x14ac:dyDescent="0.2">
      <c r="B52" t="s">
        <v>161</v>
      </c>
      <c r="C52" s="12">
        <v>37</v>
      </c>
      <c r="D52" s="8">
        <v>2.83</v>
      </c>
      <c r="E52" s="12">
        <v>25</v>
      </c>
      <c r="F52" s="8">
        <v>4.03</v>
      </c>
      <c r="G52" s="12">
        <v>12</v>
      </c>
      <c r="H52" s="8">
        <v>1.81</v>
      </c>
      <c r="I52" s="12">
        <v>0</v>
      </c>
    </row>
    <row r="53" spans="2:9" ht="15" customHeight="1" x14ac:dyDescent="0.2">
      <c r="B53" t="s">
        <v>166</v>
      </c>
      <c r="C53" s="12">
        <v>33</v>
      </c>
      <c r="D53" s="8">
        <v>2.5299999999999998</v>
      </c>
      <c r="E53" s="12">
        <v>29</v>
      </c>
      <c r="F53" s="8">
        <v>4.67</v>
      </c>
      <c r="G53" s="12">
        <v>4</v>
      </c>
      <c r="H53" s="8">
        <v>0.6</v>
      </c>
      <c r="I53" s="12">
        <v>0</v>
      </c>
    </row>
    <row r="54" spans="2:9" ht="15" customHeight="1" x14ac:dyDescent="0.2">
      <c r="B54" t="s">
        <v>149</v>
      </c>
      <c r="C54" s="12">
        <v>29</v>
      </c>
      <c r="D54" s="8">
        <v>2.2200000000000002</v>
      </c>
      <c r="E54" s="12">
        <v>6</v>
      </c>
      <c r="F54" s="8">
        <v>0.97</v>
      </c>
      <c r="G54" s="12">
        <v>23</v>
      </c>
      <c r="H54" s="8">
        <v>3.47</v>
      </c>
      <c r="I54" s="12">
        <v>0</v>
      </c>
    </row>
    <row r="55" spans="2:9" ht="15" customHeight="1" x14ac:dyDescent="0.2">
      <c r="B55" t="s">
        <v>152</v>
      </c>
      <c r="C55" s="12">
        <v>27</v>
      </c>
      <c r="D55" s="8">
        <v>2.0699999999999998</v>
      </c>
      <c r="E55" s="12">
        <v>6</v>
      </c>
      <c r="F55" s="8">
        <v>0.97</v>
      </c>
      <c r="G55" s="12">
        <v>21</v>
      </c>
      <c r="H55" s="8">
        <v>3.17</v>
      </c>
      <c r="I55" s="12">
        <v>0</v>
      </c>
    </row>
    <row r="56" spans="2:9" ht="15" customHeight="1" x14ac:dyDescent="0.2">
      <c r="B56" t="s">
        <v>148</v>
      </c>
      <c r="C56" s="12">
        <v>24</v>
      </c>
      <c r="D56" s="8">
        <v>1.84</v>
      </c>
      <c r="E56" s="12">
        <v>1</v>
      </c>
      <c r="F56" s="8">
        <v>0.16</v>
      </c>
      <c r="G56" s="12">
        <v>23</v>
      </c>
      <c r="H56" s="8">
        <v>3.47</v>
      </c>
      <c r="I56" s="12">
        <v>0</v>
      </c>
    </row>
    <row r="57" spans="2:9" ht="15" customHeight="1" x14ac:dyDescent="0.2">
      <c r="B57" t="s">
        <v>156</v>
      </c>
      <c r="C57" s="12">
        <v>24</v>
      </c>
      <c r="D57" s="8">
        <v>1.84</v>
      </c>
      <c r="E57" s="12">
        <v>15</v>
      </c>
      <c r="F57" s="8">
        <v>2.42</v>
      </c>
      <c r="G57" s="12">
        <v>9</v>
      </c>
      <c r="H57" s="8">
        <v>1.36</v>
      </c>
      <c r="I57" s="12">
        <v>0</v>
      </c>
    </row>
    <row r="58" spans="2:9" ht="15" customHeight="1" x14ac:dyDescent="0.2">
      <c r="B58" t="s">
        <v>165</v>
      </c>
      <c r="C58" s="12">
        <v>22</v>
      </c>
      <c r="D58" s="8">
        <v>1.68</v>
      </c>
      <c r="E58" s="12">
        <v>20</v>
      </c>
      <c r="F58" s="8">
        <v>3.22</v>
      </c>
      <c r="G58" s="12">
        <v>2</v>
      </c>
      <c r="H58" s="8">
        <v>0.3</v>
      </c>
      <c r="I58" s="12">
        <v>0</v>
      </c>
    </row>
    <row r="59" spans="2:9" ht="15" customHeight="1" x14ac:dyDescent="0.2">
      <c r="B59" t="s">
        <v>150</v>
      </c>
      <c r="C59" s="12">
        <v>21</v>
      </c>
      <c r="D59" s="8">
        <v>1.61</v>
      </c>
      <c r="E59" s="12">
        <v>14</v>
      </c>
      <c r="F59" s="8">
        <v>2.25</v>
      </c>
      <c r="G59" s="12">
        <v>7</v>
      </c>
      <c r="H59" s="8">
        <v>1.06</v>
      </c>
      <c r="I59" s="12">
        <v>0</v>
      </c>
    </row>
    <row r="60" spans="2:9" ht="15" customHeight="1" x14ac:dyDescent="0.2">
      <c r="B60" t="s">
        <v>151</v>
      </c>
      <c r="C60" s="12">
        <v>21</v>
      </c>
      <c r="D60" s="8">
        <v>1.61</v>
      </c>
      <c r="E60" s="12">
        <v>5</v>
      </c>
      <c r="F60" s="8">
        <v>0.81</v>
      </c>
      <c r="G60" s="12">
        <v>16</v>
      </c>
      <c r="H60" s="8">
        <v>2.42</v>
      </c>
      <c r="I60" s="12">
        <v>0</v>
      </c>
    </row>
    <row r="61" spans="2:9" ht="15" customHeight="1" x14ac:dyDescent="0.2">
      <c r="B61" t="s">
        <v>153</v>
      </c>
      <c r="C61" s="12">
        <v>21</v>
      </c>
      <c r="D61" s="8">
        <v>1.61</v>
      </c>
      <c r="E61" s="12">
        <v>4</v>
      </c>
      <c r="F61" s="8">
        <v>0.64</v>
      </c>
      <c r="G61" s="12">
        <v>17</v>
      </c>
      <c r="H61" s="8">
        <v>2.57</v>
      </c>
      <c r="I61" s="12">
        <v>0</v>
      </c>
    </row>
    <row r="62" spans="2:9" ht="15" customHeight="1" x14ac:dyDescent="0.2">
      <c r="B62" t="s">
        <v>155</v>
      </c>
      <c r="C62" s="12">
        <v>20</v>
      </c>
      <c r="D62" s="8">
        <v>1.53</v>
      </c>
      <c r="E62" s="12">
        <v>5</v>
      </c>
      <c r="F62" s="8">
        <v>0.81</v>
      </c>
      <c r="G62" s="12">
        <v>15</v>
      </c>
      <c r="H62" s="8">
        <v>2.27</v>
      </c>
      <c r="I62" s="12">
        <v>0</v>
      </c>
    </row>
    <row r="63" spans="2:9" ht="15" customHeight="1" x14ac:dyDescent="0.2">
      <c r="B63" t="s">
        <v>174</v>
      </c>
      <c r="C63" s="12">
        <v>19</v>
      </c>
      <c r="D63" s="8">
        <v>1.45</v>
      </c>
      <c r="E63" s="12">
        <v>4</v>
      </c>
      <c r="F63" s="8">
        <v>0.64</v>
      </c>
      <c r="G63" s="12">
        <v>15</v>
      </c>
      <c r="H63" s="8">
        <v>2.27</v>
      </c>
      <c r="I63" s="12">
        <v>0</v>
      </c>
    </row>
    <row r="64" spans="2:9" ht="15" customHeight="1" x14ac:dyDescent="0.2">
      <c r="B64" t="s">
        <v>159</v>
      </c>
      <c r="C64" s="12">
        <v>17</v>
      </c>
      <c r="D64" s="8">
        <v>1.3</v>
      </c>
      <c r="E64" s="12">
        <v>0</v>
      </c>
      <c r="F64" s="8">
        <v>0</v>
      </c>
      <c r="G64" s="12">
        <v>17</v>
      </c>
      <c r="H64" s="8">
        <v>2.57</v>
      </c>
      <c r="I64" s="12">
        <v>0</v>
      </c>
    </row>
    <row r="65" spans="2:9" ht="15" customHeight="1" x14ac:dyDescent="0.2">
      <c r="B65" t="s">
        <v>171</v>
      </c>
      <c r="C65" s="12">
        <v>16</v>
      </c>
      <c r="D65" s="8">
        <v>1.23</v>
      </c>
      <c r="E65" s="12">
        <v>1</v>
      </c>
      <c r="F65" s="8">
        <v>0.16</v>
      </c>
      <c r="G65" s="12">
        <v>15</v>
      </c>
      <c r="H65" s="8">
        <v>2.27</v>
      </c>
      <c r="I65" s="12">
        <v>0</v>
      </c>
    </row>
    <row r="66" spans="2:9" ht="15" customHeight="1" x14ac:dyDescent="0.2">
      <c r="B66" t="s">
        <v>157</v>
      </c>
      <c r="C66" s="12">
        <v>16</v>
      </c>
      <c r="D66" s="8">
        <v>1.23</v>
      </c>
      <c r="E66" s="12">
        <v>3</v>
      </c>
      <c r="F66" s="8">
        <v>0.48</v>
      </c>
      <c r="G66" s="12">
        <v>13</v>
      </c>
      <c r="H66" s="8">
        <v>1.96</v>
      </c>
      <c r="I66" s="12">
        <v>0</v>
      </c>
    </row>
    <row r="67" spans="2:9" ht="15" customHeight="1" x14ac:dyDescent="0.2">
      <c r="B67" t="s">
        <v>180</v>
      </c>
      <c r="C67" s="12">
        <v>16</v>
      </c>
      <c r="D67" s="8">
        <v>1.23</v>
      </c>
      <c r="E67" s="12">
        <v>12</v>
      </c>
      <c r="F67" s="8">
        <v>1.93</v>
      </c>
      <c r="G67" s="12">
        <v>4</v>
      </c>
      <c r="H67" s="8">
        <v>0.6</v>
      </c>
      <c r="I67" s="12">
        <v>0</v>
      </c>
    </row>
    <row r="69" spans="2:9" ht="15" customHeight="1" x14ac:dyDescent="0.2">
      <c r="B69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F0A6-B591-49B9-962A-3F6B3396164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270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2</v>
      </c>
      <c r="D5" s="8">
        <v>0.11</v>
      </c>
      <c r="E5" s="12">
        <v>1</v>
      </c>
      <c r="F5" s="8">
        <v>0.09</v>
      </c>
      <c r="G5" s="12">
        <v>1</v>
      </c>
      <c r="H5" s="8">
        <v>0.16</v>
      </c>
      <c r="I5" s="12">
        <v>0</v>
      </c>
    </row>
    <row r="6" spans="2:9" ht="15" customHeight="1" x14ac:dyDescent="0.2">
      <c r="B6" t="s">
        <v>62</v>
      </c>
      <c r="C6" s="12">
        <v>351</v>
      </c>
      <c r="D6" s="8">
        <v>19.72</v>
      </c>
      <c r="E6" s="12">
        <v>173</v>
      </c>
      <c r="F6" s="8">
        <v>15.27</v>
      </c>
      <c r="G6" s="12">
        <v>178</v>
      </c>
      <c r="H6" s="8">
        <v>28.8</v>
      </c>
      <c r="I6" s="12">
        <v>0</v>
      </c>
    </row>
    <row r="7" spans="2:9" ht="15" customHeight="1" x14ac:dyDescent="0.2">
      <c r="B7" t="s">
        <v>63</v>
      </c>
      <c r="C7" s="12">
        <v>150</v>
      </c>
      <c r="D7" s="8">
        <v>8.43</v>
      </c>
      <c r="E7" s="12">
        <v>75</v>
      </c>
      <c r="F7" s="8">
        <v>6.62</v>
      </c>
      <c r="G7" s="12">
        <v>75</v>
      </c>
      <c r="H7" s="8">
        <v>12.14</v>
      </c>
      <c r="I7" s="12">
        <v>0</v>
      </c>
    </row>
    <row r="8" spans="2:9" ht="15" customHeight="1" x14ac:dyDescent="0.2">
      <c r="B8" t="s">
        <v>64</v>
      </c>
      <c r="C8" s="12">
        <v>3</v>
      </c>
      <c r="D8" s="8">
        <v>0.17</v>
      </c>
      <c r="E8" s="12">
        <v>0</v>
      </c>
      <c r="F8" s="8">
        <v>0</v>
      </c>
      <c r="G8" s="12">
        <v>3</v>
      </c>
      <c r="H8" s="8">
        <v>0.49</v>
      </c>
      <c r="I8" s="12">
        <v>0</v>
      </c>
    </row>
    <row r="9" spans="2:9" ht="15" customHeight="1" x14ac:dyDescent="0.2">
      <c r="B9" t="s">
        <v>65</v>
      </c>
      <c r="C9" s="12">
        <v>3</v>
      </c>
      <c r="D9" s="8">
        <v>0.17</v>
      </c>
      <c r="E9" s="12">
        <v>0</v>
      </c>
      <c r="F9" s="8">
        <v>0</v>
      </c>
      <c r="G9" s="12">
        <v>3</v>
      </c>
      <c r="H9" s="8">
        <v>0.49</v>
      </c>
      <c r="I9" s="12">
        <v>0</v>
      </c>
    </row>
    <row r="10" spans="2:9" ht="15" customHeight="1" x14ac:dyDescent="0.2">
      <c r="B10" t="s">
        <v>66</v>
      </c>
      <c r="C10" s="12">
        <v>19</v>
      </c>
      <c r="D10" s="8">
        <v>1.07</v>
      </c>
      <c r="E10" s="12">
        <v>7</v>
      </c>
      <c r="F10" s="8">
        <v>0.62</v>
      </c>
      <c r="G10" s="12">
        <v>11</v>
      </c>
      <c r="H10" s="8">
        <v>1.78</v>
      </c>
      <c r="I10" s="12">
        <v>1</v>
      </c>
    </row>
    <row r="11" spans="2:9" ht="15" customHeight="1" x14ac:dyDescent="0.2">
      <c r="B11" t="s">
        <v>67</v>
      </c>
      <c r="C11" s="12">
        <v>417</v>
      </c>
      <c r="D11" s="8">
        <v>23.43</v>
      </c>
      <c r="E11" s="12">
        <v>240</v>
      </c>
      <c r="F11" s="8">
        <v>21.18</v>
      </c>
      <c r="G11" s="12">
        <v>175</v>
      </c>
      <c r="H11" s="8">
        <v>28.32</v>
      </c>
      <c r="I11" s="12">
        <v>2</v>
      </c>
    </row>
    <row r="12" spans="2:9" ht="15" customHeight="1" x14ac:dyDescent="0.2">
      <c r="B12" t="s">
        <v>68</v>
      </c>
      <c r="C12" s="12">
        <v>14</v>
      </c>
      <c r="D12" s="8">
        <v>0.79</v>
      </c>
      <c r="E12" s="12">
        <v>3</v>
      </c>
      <c r="F12" s="8">
        <v>0.26</v>
      </c>
      <c r="G12" s="12">
        <v>11</v>
      </c>
      <c r="H12" s="8">
        <v>1.78</v>
      </c>
      <c r="I12" s="12">
        <v>0</v>
      </c>
    </row>
    <row r="13" spans="2:9" ht="15" customHeight="1" x14ac:dyDescent="0.2">
      <c r="B13" t="s">
        <v>69</v>
      </c>
      <c r="C13" s="12">
        <v>89</v>
      </c>
      <c r="D13" s="8">
        <v>5</v>
      </c>
      <c r="E13" s="12">
        <v>30</v>
      </c>
      <c r="F13" s="8">
        <v>2.65</v>
      </c>
      <c r="G13" s="12">
        <v>58</v>
      </c>
      <c r="H13" s="8">
        <v>9.39</v>
      </c>
      <c r="I13" s="12">
        <v>0</v>
      </c>
    </row>
    <row r="14" spans="2:9" ht="15" customHeight="1" x14ac:dyDescent="0.2">
      <c r="B14" t="s">
        <v>70</v>
      </c>
      <c r="C14" s="12">
        <v>47</v>
      </c>
      <c r="D14" s="8">
        <v>2.64</v>
      </c>
      <c r="E14" s="12">
        <v>35</v>
      </c>
      <c r="F14" s="8">
        <v>3.09</v>
      </c>
      <c r="G14" s="12">
        <v>11</v>
      </c>
      <c r="H14" s="8">
        <v>1.78</v>
      </c>
      <c r="I14" s="12">
        <v>0</v>
      </c>
    </row>
    <row r="15" spans="2:9" ht="15" customHeight="1" x14ac:dyDescent="0.2">
      <c r="B15" t="s">
        <v>71</v>
      </c>
      <c r="C15" s="12">
        <v>243</v>
      </c>
      <c r="D15" s="8">
        <v>13.65</v>
      </c>
      <c r="E15" s="12">
        <v>219</v>
      </c>
      <c r="F15" s="8">
        <v>19.329999999999998</v>
      </c>
      <c r="G15" s="12">
        <v>22</v>
      </c>
      <c r="H15" s="8">
        <v>3.56</v>
      </c>
      <c r="I15" s="12">
        <v>0</v>
      </c>
    </row>
    <row r="16" spans="2:9" ht="15" customHeight="1" x14ac:dyDescent="0.2">
      <c r="B16" t="s">
        <v>72</v>
      </c>
      <c r="C16" s="12">
        <v>232</v>
      </c>
      <c r="D16" s="8">
        <v>13.03</v>
      </c>
      <c r="E16" s="12">
        <v>208</v>
      </c>
      <c r="F16" s="8">
        <v>18.36</v>
      </c>
      <c r="G16" s="12">
        <v>22</v>
      </c>
      <c r="H16" s="8">
        <v>3.56</v>
      </c>
      <c r="I16" s="12">
        <v>0</v>
      </c>
    </row>
    <row r="17" spans="2:9" ht="15" customHeight="1" x14ac:dyDescent="0.2">
      <c r="B17" t="s">
        <v>73</v>
      </c>
      <c r="C17" s="12">
        <v>56</v>
      </c>
      <c r="D17" s="8">
        <v>3.15</v>
      </c>
      <c r="E17" s="12">
        <v>37</v>
      </c>
      <c r="F17" s="8">
        <v>3.27</v>
      </c>
      <c r="G17" s="12">
        <v>13</v>
      </c>
      <c r="H17" s="8">
        <v>2.1</v>
      </c>
      <c r="I17" s="12">
        <v>0</v>
      </c>
    </row>
    <row r="18" spans="2:9" ht="15" customHeight="1" x14ac:dyDescent="0.2">
      <c r="B18" t="s">
        <v>74</v>
      </c>
      <c r="C18" s="12">
        <v>79</v>
      </c>
      <c r="D18" s="8">
        <v>4.4400000000000004</v>
      </c>
      <c r="E18" s="12">
        <v>57</v>
      </c>
      <c r="F18" s="8">
        <v>5.03</v>
      </c>
      <c r="G18" s="12">
        <v>13</v>
      </c>
      <c r="H18" s="8">
        <v>2.1</v>
      </c>
      <c r="I18" s="12">
        <v>0</v>
      </c>
    </row>
    <row r="19" spans="2:9" ht="15" customHeight="1" x14ac:dyDescent="0.2">
      <c r="B19" t="s">
        <v>75</v>
      </c>
      <c r="C19" s="12">
        <v>75</v>
      </c>
      <c r="D19" s="8">
        <v>4.21</v>
      </c>
      <c r="E19" s="12">
        <v>48</v>
      </c>
      <c r="F19" s="8">
        <v>4.24</v>
      </c>
      <c r="G19" s="12">
        <v>22</v>
      </c>
      <c r="H19" s="8">
        <v>3.56</v>
      </c>
      <c r="I19" s="12">
        <v>0</v>
      </c>
    </row>
    <row r="20" spans="2:9" ht="15" customHeight="1" x14ac:dyDescent="0.2">
      <c r="B20" s="9" t="s">
        <v>248</v>
      </c>
      <c r="C20" s="12">
        <f>SUM(LTBL_12215[総数／事業所数])</f>
        <v>1780</v>
      </c>
      <c r="E20" s="12">
        <f>SUBTOTAL(109,LTBL_12215[個人／事業所数])</f>
        <v>1133</v>
      </c>
      <c r="G20" s="12">
        <f>SUBTOTAL(109,LTBL_12215[法人／事業所数])</f>
        <v>618</v>
      </c>
      <c r="I20" s="12">
        <f>SUBTOTAL(109,LTBL_12215[法人以外の団体／事業所数])</f>
        <v>3</v>
      </c>
    </row>
    <row r="21" spans="2:9" ht="15" customHeight="1" x14ac:dyDescent="0.2">
      <c r="E21" s="11">
        <f>LTBL_12215[[#Totals],[個人／事業所数]]/LTBL_12215[[#Totals],[総数／事業所数]]</f>
        <v>0.63651685393258428</v>
      </c>
      <c r="G21" s="11">
        <f>LTBL_12215[[#Totals],[法人／事業所数]]/LTBL_12215[[#Totals],[総数／事業所数]]</f>
        <v>0.34719101123595508</v>
      </c>
      <c r="I21" s="11">
        <f>LTBL_12215[[#Totals],[法人以外の団体／事業所数]]/LTBL_12215[[#Totals],[総数／事業所数]]</f>
        <v>1.6853932584269663E-3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97</v>
      </c>
      <c r="C24" s="12">
        <v>220</v>
      </c>
      <c r="D24" s="8">
        <v>12.36</v>
      </c>
      <c r="E24" s="12">
        <v>204</v>
      </c>
      <c r="F24" s="8">
        <v>18.010000000000002</v>
      </c>
      <c r="G24" s="12">
        <v>16</v>
      </c>
      <c r="H24" s="8">
        <v>2.59</v>
      </c>
      <c r="I24" s="12">
        <v>0</v>
      </c>
    </row>
    <row r="25" spans="2:9" ht="15" customHeight="1" x14ac:dyDescent="0.2">
      <c r="B25" t="s">
        <v>98</v>
      </c>
      <c r="C25" s="12">
        <v>198</v>
      </c>
      <c r="D25" s="8">
        <v>11.12</v>
      </c>
      <c r="E25" s="12">
        <v>188</v>
      </c>
      <c r="F25" s="8">
        <v>16.59</v>
      </c>
      <c r="G25" s="12">
        <v>10</v>
      </c>
      <c r="H25" s="8">
        <v>1.62</v>
      </c>
      <c r="I25" s="12">
        <v>0</v>
      </c>
    </row>
    <row r="26" spans="2:9" ht="15" customHeight="1" x14ac:dyDescent="0.2">
      <c r="B26" t="s">
        <v>84</v>
      </c>
      <c r="C26" s="12">
        <v>149</v>
      </c>
      <c r="D26" s="8">
        <v>8.3699999999999992</v>
      </c>
      <c r="E26" s="12">
        <v>57</v>
      </c>
      <c r="F26" s="8">
        <v>5.03</v>
      </c>
      <c r="G26" s="12">
        <v>92</v>
      </c>
      <c r="H26" s="8">
        <v>14.89</v>
      </c>
      <c r="I26" s="12">
        <v>0</v>
      </c>
    </row>
    <row r="27" spans="2:9" ht="15" customHeight="1" x14ac:dyDescent="0.2">
      <c r="B27" t="s">
        <v>92</v>
      </c>
      <c r="C27" s="12">
        <v>136</v>
      </c>
      <c r="D27" s="8">
        <v>7.64</v>
      </c>
      <c r="E27" s="12">
        <v>73</v>
      </c>
      <c r="F27" s="8">
        <v>6.44</v>
      </c>
      <c r="G27" s="12">
        <v>63</v>
      </c>
      <c r="H27" s="8">
        <v>10.19</v>
      </c>
      <c r="I27" s="12">
        <v>0</v>
      </c>
    </row>
    <row r="28" spans="2:9" ht="15" customHeight="1" x14ac:dyDescent="0.2">
      <c r="B28" t="s">
        <v>85</v>
      </c>
      <c r="C28" s="12">
        <v>121</v>
      </c>
      <c r="D28" s="8">
        <v>6.8</v>
      </c>
      <c r="E28" s="12">
        <v>74</v>
      </c>
      <c r="F28" s="8">
        <v>6.53</v>
      </c>
      <c r="G28" s="12">
        <v>47</v>
      </c>
      <c r="H28" s="8">
        <v>7.61</v>
      </c>
      <c r="I28" s="12">
        <v>0</v>
      </c>
    </row>
    <row r="29" spans="2:9" ht="15" customHeight="1" x14ac:dyDescent="0.2">
      <c r="B29" t="s">
        <v>90</v>
      </c>
      <c r="C29" s="12">
        <v>116</v>
      </c>
      <c r="D29" s="8">
        <v>6.52</v>
      </c>
      <c r="E29" s="12">
        <v>88</v>
      </c>
      <c r="F29" s="8">
        <v>7.77</v>
      </c>
      <c r="G29" s="12">
        <v>28</v>
      </c>
      <c r="H29" s="8">
        <v>4.53</v>
      </c>
      <c r="I29" s="12">
        <v>0</v>
      </c>
    </row>
    <row r="30" spans="2:9" ht="15" customHeight="1" x14ac:dyDescent="0.2">
      <c r="B30" t="s">
        <v>86</v>
      </c>
      <c r="C30" s="12">
        <v>81</v>
      </c>
      <c r="D30" s="8">
        <v>4.55</v>
      </c>
      <c r="E30" s="12">
        <v>42</v>
      </c>
      <c r="F30" s="8">
        <v>3.71</v>
      </c>
      <c r="G30" s="12">
        <v>39</v>
      </c>
      <c r="H30" s="8">
        <v>6.31</v>
      </c>
      <c r="I30" s="12">
        <v>0</v>
      </c>
    </row>
    <row r="31" spans="2:9" ht="15" customHeight="1" x14ac:dyDescent="0.2">
      <c r="B31" t="s">
        <v>94</v>
      </c>
      <c r="C31" s="12">
        <v>63</v>
      </c>
      <c r="D31" s="8">
        <v>3.54</v>
      </c>
      <c r="E31" s="12">
        <v>24</v>
      </c>
      <c r="F31" s="8">
        <v>2.12</v>
      </c>
      <c r="G31" s="12">
        <v>38</v>
      </c>
      <c r="H31" s="8">
        <v>6.15</v>
      </c>
      <c r="I31" s="12">
        <v>0</v>
      </c>
    </row>
    <row r="32" spans="2:9" ht="15" customHeight="1" x14ac:dyDescent="0.2">
      <c r="B32" t="s">
        <v>101</v>
      </c>
      <c r="C32" s="12">
        <v>59</v>
      </c>
      <c r="D32" s="8">
        <v>3.31</v>
      </c>
      <c r="E32" s="12">
        <v>57</v>
      </c>
      <c r="F32" s="8">
        <v>5.03</v>
      </c>
      <c r="G32" s="12">
        <v>2</v>
      </c>
      <c r="H32" s="8">
        <v>0.32</v>
      </c>
      <c r="I32" s="12">
        <v>0</v>
      </c>
    </row>
    <row r="33" spans="2:9" ht="15" customHeight="1" x14ac:dyDescent="0.2">
      <c r="B33" t="s">
        <v>100</v>
      </c>
      <c r="C33" s="12">
        <v>56</v>
      </c>
      <c r="D33" s="8">
        <v>3.15</v>
      </c>
      <c r="E33" s="12">
        <v>37</v>
      </c>
      <c r="F33" s="8">
        <v>3.27</v>
      </c>
      <c r="G33" s="12">
        <v>13</v>
      </c>
      <c r="H33" s="8">
        <v>2.1</v>
      </c>
      <c r="I33" s="12">
        <v>0</v>
      </c>
    </row>
    <row r="34" spans="2:9" ht="15" customHeight="1" x14ac:dyDescent="0.2">
      <c r="B34" t="s">
        <v>91</v>
      </c>
      <c r="C34" s="12">
        <v>55</v>
      </c>
      <c r="D34" s="8">
        <v>3.09</v>
      </c>
      <c r="E34" s="12">
        <v>34</v>
      </c>
      <c r="F34" s="8">
        <v>3</v>
      </c>
      <c r="G34" s="12">
        <v>21</v>
      </c>
      <c r="H34" s="8">
        <v>3.4</v>
      </c>
      <c r="I34" s="12">
        <v>0</v>
      </c>
    </row>
    <row r="35" spans="2:9" ht="15" customHeight="1" x14ac:dyDescent="0.2">
      <c r="B35" t="s">
        <v>103</v>
      </c>
      <c r="C35" s="12">
        <v>48</v>
      </c>
      <c r="D35" s="8">
        <v>2.7</v>
      </c>
      <c r="E35" s="12">
        <v>41</v>
      </c>
      <c r="F35" s="8">
        <v>3.62</v>
      </c>
      <c r="G35" s="12">
        <v>7</v>
      </c>
      <c r="H35" s="8">
        <v>1.1299999999999999</v>
      </c>
      <c r="I35" s="12">
        <v>0</v>
      </c>
    </row>
    <row r="36" spans="2:9" ht="15" customHeight="1" x14ac:dyDescent="0.2">
      <c r="B36" t="s">
        <v>89</v>
      </c>
      <c r="C36" s="12">
        <v>38</v>
      </c>
      <c r="D36" s="8">
        <v>2.13</v>
      </c>
      <c r="E36" s="12">
        <v>18</v>
      </c>
      <c r="F36" s="8">
        <v>1.59</v>
      </c>
      <c r="G36" s="12">
        <v>19</v>
      </c>
      <c r="H36" s="8">
        <v>3.07</v>
      </c>
      <c r="I36" s="12">
        <v>1</v>
      </c>
    </row>
    <row r="37" spans="2:9" ht="15" customHeight="1" x14ac:dyDescent="0.2">
      <c r="B37" t="s">
        <v>95</v>
      </c>
      <c r="C37" s="12">
        <v>28</v>
      </c>
      <c r="D37" s="8">
        <v>1.57</v>
      </c>
      <c r="E37" s="12">
        <v>22</v>
      </c>
      <c r="F37" s="8">
        <v>1.94</v>
      </c>
      <c r="G37" s="12">
        <v>6</v>
      </c>
      <c r="H37" s="8">
        <v>0.97</v>
      </c>
      <c r="I37" s="12">
        <v>0</v>
      </c>
    </row>
    <row r="38" spans="2:9" ht="15" customHeight="1" x14ac:dyDescent="0.2">
      <c r="B38" t="s">
        <v>99</v>
      </c>
      <c r="C38" s="12">
        <v>27</v>
      </c>
      <c r="D38" s="8">
        <v>1.52</v>
      </c>
      <c r="E38" s="12">
        <v>15</v>
      </c>
      <c r="F38" s="8">
        <v>1.32</v>
      </c>
      <c r="G38" s="12">
        <v>12</v>
      </c>
      <c r="H38" s="8">
        <v>1.94</v>
      </c>
      <c r="I38" s="12">
        <v>0</v>
      </c>
    </row>
    <row r="39" spans="2:9" ht="15" customHeight="1" x14ac:dyDescent="0.2">
      <c r="B39" t="s">
        <v>110</v>
      </c>
      <c r="C39" s="12">
        <v>24</v>
      </c>
      <c r="D39" s="8">
        <v>1.35</v>
      </c>
      <c r="E39" s="12">
        <v>5</v>
      </c>
      <c r="F39" s="8">
        <v>0.44</v>
      </c>
      <c r="G39" s="12">
        <v>19</v>
      </c>
      <c r="H39" s="8">
        <v>3.07</v>
      </c>
      <c r="I39" s="12">
        <v>0</v>
      </c>
    </row>
    <row r="40" spans="2:9" ht="15" customHeight="1" x14ac:dyDescent="0.2">
      <c r="B40" t="s">
        <v>104</v>
      </c>
      <c r="C40" s="12">
        <v>21</v>
      </c>
      <c r="D40" s="8">
        <v>1.18</v>
      </c>
      <c r="E40" s="12">
        <v>8</v>
      </c>
      <c r="F40" s="8">
        <v>0.71</v>
      </c>
      <c r="G40" s="12">
        <v>13</v>
      </c>
      <c r="H40" s="8">
        <v>2.1</v>
      </c>
      <c r="I40" s="12">
        <v>0</v>
      </c>
    </row>
    <row r="41" spans="2:9" ht="15" customHeight="1" x14ac:dyDescent="0.2">
      <c r="B41" t="s">
        <v>102</v>
      </c>
      <c r="C41" s="12">
        <v>20</v>
      </c>
      <c r="D41" s="8">
        <v>1.1200000000000001</v>
      </c>
      <c r="E41" s="12">
        <v>0</v>
      </c>
      <c r="F41" s="8">
        <v>0</v>
      </c>
      <c r="G41" s="12">
        <v>11</v>
      </c>
      <c r="H41" s="8">
        <v>1.78</v>
      </c>
      <c r="I41" s="12">
        <v>0</v>
      </c>
    </row>
    <row r="42" spans="2:9" ht="15" customHeight="1" x14ac:dyDescent="0.2">
      <c r="B42" t="s">
        <v>93</v>
      </c>
      <c r="C42" s="12">
        <v>19</v>
      </c>
      <c r="D42" s="8">
        <v>1.07</v>
      </c>
      <c r="E42" s="12">
        <v>4</v>
      </c>
      <c r="F42" s="8">
        <v>0.35</v>
      </c>
      <c r="G42" s="12">
        <v>15</v>
      </c>
      <c r="H42" s="8">
        <v>2.4300000000000002</v>
      </c>
      <c r="I42" s="12">
        <v>0</v>
      </c>
    </row>
    <row r="43" spans="2:9" ht="15" customHeight="1" x14ac:dyDescent="0.2">
      <c r="B43" t="s">
        <v>96</v>
      </c>
      <c r="C43" s="12">
        <v>19</v>
      </c>
      <c r="D43" s="8">
        <v>1.07</v>
      </c>
      <c r="E43" s="12">
        <v>13</v>
      </c>
      <c r="F43" s="8">
        <v>1.1499999999999999</v>
      </c>
      <c r="G43" s="12">
        <v>5</v>
      </c>
      <c r="H43" s="8">
        <v>0.81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103</v>
      </c>
      <c r="D47" s="8">
        <v>5.79</v>
      </c>
      <c r="E47" s="12">
        <v>102</v>
      </c>
      <c r="F47" s="8">
        <v>9</v>
      </c>
      <c r="G47" s="12">
        <v>1</v>
      </c>
      <c r="H47" s="8">
        <v>0.16</v>
      </c>
      <c r="I47" s="12">
        <v>0</v>
      </c>
    </row>
    <row r="48" spans="2:9" ht="15" customHeight="1" x14ac:dyDescent="0.2">
      <c r="B48" t="s">
        <v>162</v>
      </c>
      <c r="C48" s="12">
        <v>77</v>
      </c>
      <c r="D48" s="8">
        <v>4.33</v>
      </c>
      <c r="E48" s="12">
        <v>73</v>
      </c>
      <c r="F48" s="8">
        <v>6.44</v>
      </c>
      <c r="G48" s="12">
        <v>4</v>
      </c>
      <c r="H48" s="8">
        <v>0.65</v>
      </c>
      <c r="I48" s="12">
        <v>0</v>
      </c>
    </row>
    <row r="49" spans="2:9" ht="15" customHeight="1" x14ac:dyDescent="0.2">
      <c r="B49" t="s">
        <v>163</v>
      </c>
      <c r="C49" s="12">
        <v>69</v>
      </c>
      <c r="D49" s="8">
        <v>3.88</v>
      </c>
      <c r="E49" s="12">
        <v>67</v>
      </c>
      <c r="F49" s="8">
        <v>5.91</v>
      </c>
      <c r="G49" s="12">
        <v>2</v>
      </c>
      <c r="H49" s="8">
        <v>0.32</v>
      </c>
      <c r="I49" s="12">
        <v>0</v>
      </c>
    </row>
    <row r="50" spans="2:9" ht="15" customHeight="1" x14ac:dyDescent="0.2">
      <c r="B50" t="s">
        <v>150</v>
      </c>
      <c r="C50" s="12">
        <v>66</v>
      </c>
      <c r="D50" s="8">
        <v>3.71</v>
      </c>
      <c r="E50" s="12">
        <v>38</v>
      </c>
      <c r="F50" s="8">
        <v>3.35</v>
      </c>
      <c r="G50" s="12">
        <v>28</v>
      </c>
      <c r="H50" s="8">
        <v>4.53</v>
      </c>
      <c r="I50" s="12">
        <v>0</v>
      </c>
    </row>
    <row r="51" spans="2:9" ht="15" customHeight="1" x14ac:dyDescent="0.2">
      <c r="B51" t="s">
        <v>161</v>
      </c>
      <c r="C51" s="12">
        <v>56</v>
      </c>
      <c r="D51" s="8">
        <v>3.15</v>
      </c>
      <c r="E51" s="12">
        <v>51</v>
      </c>
      <c r="F51" s="8">
        <v>4.5</v>
      </c>
      <c r="G51" s="12">
        <v>5</v>
      </c>
      <c r="H51" s="8">
        <v>0.81</v>
      </c>
      <c r="I51" s="12">
        <v>0</v>
      </c>
    </row>
    <row r="52" spans="2:9" ht="15" customHeight="1" x14ac:dyDescent="0.2">
      <c r="B52" t="s">
        <v>154</v>
      </c>
      <c r="C52" s="12">
        <v>48</v>
      </c>
      <c r="D52" s="8">
        <v>2.7</v>
      </c>
      <c r="E52" s="12">
        <v>39</v>
      </c>
      <c r="F52" s="8">
        <v>3.44</v>
      </c>
      <c r="G52" s="12">
        <v>9</v>
      </c>
      <c r="H52" s="8">
        <v>1.46</v>
      </c>
      <c r="I52" s="12">
        <v>0</v>
      </c>
    </row>
    <row r="53" spans="2:9" ht="15" customHeight="1" x14ac:dyDescent="0.2">
      <c r="B53" t="s">
        <v>167</v>
      </c>
      <c r="C53" s="12">
        <v>48</v>
      </c>
      <c r="D53" s="8">
        <v>2.7</v>
      </c>
      <c r="E53" s="12">
        <v>41</v>
      </c>
      <c r="F53" s="8">
        <v>3.62</v>
      </c>
      <c r="G53" s="12">
        <v>7</v>
      </c>
      <c r="H53" s="8">
        <v>1.1299999999999999</v>
      </c>
      <c r="I53" s="12">
        <v>0</v>
      </c>
    </row>
    <row r="54" spans="2:9" ht="15" customHeight="1" x14ac:dyDescent="0.2">
      <c r="B54" t="s">
        <v>152</v>
      </c>
      <c r="C54" s="12">
        <v>41</v>
      </c>
      <c r="D54" s="8">
        <v>2.2999999999999998</v>
      </c>
      <c r="E54" s="12">
        <v>25</v>
      </c>
      <c r="F54" s="8">
        <v>2.21</v>
      </c>
      <c r="G54" s="12">
        <v>16</v>
      </c>
      <c r="H54" s="8">
        <v>2.59</v>
      </c>
      <c r="I54" s="12">
        <v>0</v>
      </c>
    </row>
    <row r="55" spans="2:9" ht="15" customHeight="1" x14ac:dyDescent="0.2">
      <c r="B55" t="s">
        <v>158</v>
      </c>
      <c r="C55" s="12">
        <v>36</v>
      </c>
      <c r="D55" s="8">
        <v>2.02</v>
      </c>
      <c r="E55" s="12">
        <v>18</v>
      </c>
      <c r="F55" s="8">
        <v>1.59</v>
      </c>
      <c r="G55" s="12">
        <v>17</v>
      </c>
      <c r="H55" s="8">
        <v>2.75</v>
      </c>
      <c r="I55" s="12">
        <v>0</v>
      </c>
    </row>
    <row r="56" spans="2:9" ht="15" customHeight="1" x14ac:dyDescent="0.2">
      <c r="B56" t="s">
        <v>148</v>
      </c>
      <c r="C56" s="12">
        <v>35</v>
      </c>
      <c r="D56" s="8">
        <v>1.97</v>
      </c>
      <c r="E56" s="12">
        <v>3</v>
      </c>
      <c r="F56" s="8">
        <v>0.26</v>
      </c>
      <c r="G56" s="12">
        <v>32</v>
      </c>
      <c r="H56" s="8">
        <v>5.18</v>
      </c>
      <c r="I56" s="12">
        <v>0</v>
      </c>
    </row>
    <row r="57" spans="2:9" ht="15" customHeight="1" x14ac:dyDescent="0.2">
      <c r="B57" t="s">
        <v>155</v>
      </c>
      <c r="C57" s="12">
        <v>35</v>
      </c>
      <c r="D57" s="8">
        <v>1.97</v>
      </c>
      <c r="E57" s="12">
        <v>20</v>
      </c>
      <c r="F57" s="8">
        <v>1.77</v>
      </c>
      <c r="G57" s="12">
        <v>15</v>
      </c>
      <c r="H57" s="8">
        <v>2.4300000000000002</v>
      </c>
      <c r="I57" s="12">
        <v>0</v>
      </c>
    </row>
    <row r="58" spans="2:9" ht="15" customHeight="1" x14ac:dyDescent="0.2">
      <c r="B58" t="s">
        <v>149</v>
      </c>
      <c r="C58" s="12">
        <v>34</v>
      </c>
      <c r="D58" s="8">
        <v>1.91</v>
      </c>
      <c r="E58" s="12">
        <v>11</v>
      </c>
      <c r="F58" s="8">
        <v>0.97</v>
      </c>
      <c r="G58" s="12">
        <v>23</v>
      </c>
      <c r="H58" s="8">
        <v>3.72</v>
      </c>
      <c r="I58" s="12">
        <v>0</v>
      </c>
    </row>
    <row r="59" spans="2:9" ht="15" customHeight="1" x14ac:dyDescent="0.2">
      <c r="B59" t="s">
        <v>166</v>
      </c>
      <c r="C59" s="12">
        <v>33</v>
      </c>
      <c r="D59" s="8">
        <v>1.85</v>
      </c>
      <c r="E59" s="12">
        <v>33</v>
      </c>
      <c r="F59" s="8">
        <v>2.91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153</v>
      </c>
      <c r="C60" s="12">
        <v>32</v>
      </c>
      <c r="D60" s="8">
        <v>1.8</v>
      </c>
      <c r="E60" s="12">
        <v>15</v>
      </c>
      <c r="F60" s="8">
        <v>1.32</v>
      </c>
      <c r="G60" s="12">
        <v>17</v>
      </c>
      <c r="H60" s="8">
        <v>2.75</v>
      </c>
      <c r="I60" s="12">
        <v>0</v>
      </c>
    </row>
    <row r="61" spans="2:9" ht="15" customHeight="1" x14ac:dyDescent="0.2">
      <c r="B61" t="s">
        <v>156</v>
      </c>
      <c r="C61" s="12">
        <v>31</v>
      </c>
      <c r="D61" s="8">
        <v>1.74</v>
      </c>
      <c r="E61" s="12">
        <v>21</v>
      </c>
      <c r="F61" s="8">
        <v>1.85</v>
      </c>
      <c r="G61" s="12">
        <v>10</v>
      </c>
      <c r="H61" s="8">
        <v>1.62</v>
      </c>
      <c r="I61" s="12">
        <v>0</v>
      </c>
    </row>
    <row r="62" spans="2:9" ht="15" customHeight="1" x14ac:dyDescent="0.2">
      <c r="B62" t="s">
        <v>197</v>
      </c>
      <c r="C62" s="12">
        <v>30</v>
      </c>
      <c r="D62" s="8">
        <v>1.69</v>
      </c>
      <c r="E62" s="12">
        <v>28</v>
      </c>
      <c r="F62" s="8">
        <v>2.4700000000000002</v>
      </c>
      <c r="G62" s="12">
        <v>2</v>
      </c>
      <c r="H62" s="8">
        <v>0.32</v>
      </c>
      <c r="I62" s="12">
        <v>0</v>
      </c>
    </row>
    <row r="63" spans="2:9" ht="15" customHeight="1" x14ac:dyDescent="0.2">
      <c r="B63" t="s">
        <v>168</v>
      </c>
      <c r="C63" s="12">
        <v>29</v>
      </c>
      <c r="D63" s="8">
        <v>1.63</v>
      </c>
      <c r="E63" s="12">
        <v>15</v>
      </c>
      <c r="F63" s="8">
        <v>1.32</v>
      </c>
      <c r="G63" s="12">
        <v>14</v>
      </c>
      <c r="H63" s="8">
        <v>2.27</v>
      </c>
      <c r="I63" s="12">
        <v>0</v>
      </c>
    </row>
    <row r="64" spans="2:9" ht="15" customHeight="1" x14ac:dyDescent="0.2">
      <c r="B64" t="s">
        <v>192</v>
      </c>
      <c r="C64" s="12">
        <v>28</v>
      </c>
      <c r="D64" s="8">
        <v>1.57</v>
      </c>
      <c r="E64" s="12">
        <v>24</v>
      </c>
      <c r="F64" s="8">
        <v>2.12</v>
      </c>
      <c r="G64" s="12">
        <v>4</v>
      </c>
      <c r="H64" s="8">
        <v>0.65</v>
      </c>
      <c r="I64" s="12">
        <v>0</v>
      </c>
    </row>
    <row r="65" spans="2:9" ht="15" customHeight="1" x14ac:dyDescent="0.2">
      <c r="B65" t="s">
        <v>190</v>
      </c>
      <c r="C65" s="12">
        <v>27</v>
      </c>
      <c r="D65" s="8">
        <v>1.52</v>
      </c>
      <c r="E65" s="12">
        <v>21</v>
      </c>
      <c r="F65" s="8">
        <v>1.85</v>
      </c>
      <c r="G65" s="12">
        <v>6</v>
      </c>
      <c r="H65" s="8">
        <v>0.97</v>
      </c>
      <c r="I65" s="12">
        <v>0</v>
      </c>
    </row>
    <row r="66" spans="2:9" ht="15" customHeight="1" x14ac:dyDescent="0.2">
      <c r="B66" t="s">
        <v>191</v>
      </c>
      <c r="C66" s="12">
        <v>26</v>
      </c>
      <c r="D66" s="8">
        <v>1.46</v>
      </c>
      <c r="E66" s="12">
        <v>8</v>
      </c>
      <c r="F66" s="8">
        <v>0.71</v>
      </c>
      <c r="G66" s="12">
        <v>18</v>
      </c>
      <c r="H66" s="8">
        <v>2.91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C15C4-1128-401B-9A56-D4DCC6C86BC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271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214</v>
      </c>
      <c r="D6" s="8">
        <v>10.45</v>
      </c>
      <c r="E6" s="12">
        <v>24</v>
      </c>
      <c r="F6" s="8">
        <v>2.84</v>
      </c>
      <c r="G6" s="12">
        <v>190</v>
      </c>
      <c r="H6" s="8">
        <v>15.89</v>
      </c>
      <c r="I6" s="12">
        <v>0</v>
      </c>
    </row>
    <row r="7" spans="2:9" ht="15" customHeight="1" x14ac:dyDescent="0.2">
      <c r="B7" t="s">
        <v>63</v>
      </c>
      <c r="C7" s="12">
        <v>72</v>
      </c>
      <c r="D7" s="8">
        <v>3.52</v>
      </c>
      <c r="E7" s="12">
        <v>11</v>
      </c>
      <c r="F7" s="8">
        <v>1.3</v>
      </c>
      <c r="G7" s="12">
        <v>61</v>
      </c>
      <c r="H7" s="8">
        <v>5.0999999999999996</v>
      </c>
      <c r="I7" s="12">
        <v>0</v>
      </c>
    </row>
    <row r="8" spans="2:9" ht="15" customHeight="1" x14ac:dyDescent="0.2">
      <c r="B8" t="s">
        <v>64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0.08</v>
      </c>
      <c r="I8" s="12">
        <v>0</v>
      </c>
    </row>
    <row r="9" spans="2:9" ht="15" customHeight="1" x14ac:dyDescent="0.2">
      <c r="B9" t="s">
        <v>65</v>
      </c>
      <c r="C9" s="12">
        <v>38</v>
      </c>
      <c r="D9" s="8">
        <v>1.86</v>
      </c>
      <c r="E9" s="12">
        <v>1</v>
      </c>
      <c r="F9" s="8">
        <v>0.12</v>
      </c>
      <c r="G9" s="12">
        <v>37</v>
      </c>
      <c r="H9" s="8">
        <v>3.09</v>
      </c>
      <c r="I9" s="12">
        <v>0</v>
      </c>
    </row>
    <row r="10" spans="2:9" ht="15" customHeight="1" x14ac:dyDescent="0.2">
      <c r="B10" t="s">
        <v>66</v>
      </c>
      <c r="C10" s="12">
        <v>20</v>
      </c>
      <c r="D10" s="8">
        <v>0.98</v>
      </c>
      <c r="E10" s="12">
        <v>1</v>
      </c>
      <c r="F10" s="8">
        <v>0.12</v>
      </c>
      <c r="G10" s="12">
        <v>19</v>
      </c>
      <c r="H10" s="8">
        <v>1.59</v>
      </c>
      <c r="I10" s="12">
        <v>0</v>
      </c>
    </row>
    <row r="11" spans="2:9" ht="15" customHeight="1" x14ac:dyDescent="0.2">
      <c r="B11" t="s">
        <v>67</v>
      </c>
      <c r="C11" s="12">
        <v>384</v>
      </c>
      <c r="D11" s="8">
        <v>18.75</v>
      </c>
      <c r="E11" s="12">
        <v>122</v>
      </c>
      <c r="F11" s="8">
        <v>14.45</v>
      </c>
      <c r="G11" s="12">
        <v>262</v>
      </c>
      <c r="H11" s="8">
        <v>21.91</v>
      </c>
      <c r="I11" s="12">
        <v>0</v>
      </c>
    </row>
    <row r="12" spans="2:9" ht="15" customHeight="1" x14ac:dyDescent="0.2">
      <c r="B12" t="s">
        <v>68</v>
      </c>
      <c r="C12" s="12">
        <v>11</v>
      </c>
      <c r="D12" s="8">
        <v>0.54</v>
      </c>
      <c r="E12" s="12">
        <v>1</v>
      </c>
      <c r="F12" s="8">
        <v>0.12</v>
      </c>
      <c r="G12" s="12">
        <v>10</v>
      </c>
      <c r="H12" s="8">
        <v>0.84</v>
      </c>
      <c r="I12" s="12">
        <v>0</v>
      </c>
    </row>
    <row r="13" spans="2:9" ht="15" customHeight="1" x14ac:dyDescent="0.2">
      <c r="B13" t="s">
        <v>69</v>
      </c>
      <c r="C13" s="12">
        <v>303</v>
      </c>
      <c r="D13" s="8">
        <v>14.79</v>
      </c>
      <c r="E13" s="12">
        <v>91</v>
      </c>
      <c r="F13" s="8">
        <v>10.78</v>
      </c>
      <c r="G13" s="12">
        <v>211</v>
      </c>
      <c r="H13" s="8">
        <v>17.64</v>
      </c>
      <c r="I13" s="12">
        <v>1</v>
      </c>
    </row>
    <row r="14" spans="2:9" ht="15" customHeight="1" x14ac:dyDescent="0.2">
      <c r="B14" t="s">
        <v>70</v>
      </c>
      <c r="C14" s="12">
        <v>167</v>
      </c>
      <c r="D14" s="8">
        <v>8.15</v>
      </c>
      <c r="E14" s="12">
        <v>47</v>
      </c>
      <c r="F14" s="8">
        <v>5.57</v>
      </c>
      <c r="G14" s="12">
        <v>120</v>
      </c>
      <c r="H14" s="8">
        <v>10.029999999999999</v>
      </c>
      <c r="I14" s="12">
        <v>0</v>
      </c>
    </row>
    <row r="15" spans="2:9" ht="15" customHeight="1" x14ac:dyDescent="0.2">
      <c r="B15" t="s">
        <v>71</v>
      </c>
      <c r="C15" s="12">
        <v>245</v>
      </c>
      <c r="D15" s="8">
        <v>11.96</v>
      </c>
      <c r="E15" s="12">
        <v>181</v>
      </c>
      <c r="F15" s="8">
        <v>21.45</v>
      </c>
      <c r="G15" s="12">
        <v>64</v>
      </c>
      <c r="H15" s="8">
        <v>5.35</v>
      </c>
      <c r="I15" s="12">
        <v>0</v>
      </c>
    </row>
    <row r="16" spans="2:9" ht="15" customHeight="1" x14ac:dyDescent="0.2">
      <c r="B16" t="s">
        <v>72</v>
      </c>
      <c r="C16" s="12">
        <v>283</v>
      </c>
      <c r="D16" s="8">
        <v>13.82</v>
      </c>
      <c r="E16" s="12">
        <v>202</v>
      </c>
      <c r="F16" s="8">
        <v>23.93</v>
      </c>
      <c r="G16" s="12">
        <v>80</v>
      </c>
      <c r="H16" s="8">
        <v>6.69</v>
      </c>
      <c r="I16" s="12">
        <v>0</v>
      </c>
    </row>
    <row r="17" spans="2:9" ht="15" customHeight="1" x14ac:dyDescent="0.2">
      <c r="B17" t="s">
        <v>73</v>
      </c>
      <c r="C17" s="12">
        <v>104</v>
      </c>
      <c r="D17" s="8">
        <v>5.08</v>
      </c>
      <c r="E17" s="12">
        <v>67</v>
      </c>
      <c r="F17" s="8">
        <v>7.94</v>
      </c>
      <c r="G17" s="12">
        <v>35</v>
      </c>
      <c r="H17" s="8">
        <v>2.93</v>
      </c>
      <c r="I17" s="12">
        <v>1</v>
      </c>
    </row>
    <row r="18" spans="2:9" ht="15" customHeight="1" x14ac:dyDescent="0.2">
      <c r="B18" t="s">
        <v>74</v>
      </c>
      <c r="C18" s="12">
        <v>141</v>
      </c>
      <c r="D18" s="8">
        <v>6.88</v>
      </c>
      <c r="E18" s="12">
        <v>83</v>
      </c>
      <c r="F18" s="8">
        <v>9.83</v>
      </c>
      <c r="G18" s="12">
        <v>56</v>
      </c>
      <c r="H18" s="8">
        <v>4.68</v>
      </c>
      <c r="I18" s="12">
        <v>0</v>
      </c>
    </row>
    <row r="19" spans="2:9" ht="15" customHeight="1" x14ac:dyDescent="0.2">
      <c r="B19" t="s">
        <v>75</v>
      </c>
      <c r="C19" s="12">
        <v>65</v>
      </c>
      <c r="D19" s="8">
        <v>3.17</v>
      </c>
      <c r="E19" s="12">
        <v>13</v>
      </c>
      <c r="F19" s="8">
        <v>1.54</v>
      </c>
      <c r="G19" s="12">
        <v>50</v>
      </c>
      <c r="H19" s="8">
        <v>4.18</v>
      </c>
      <c r="I19" s="12">
        <v>0</v>
      </c>
    </row>
    <row r="20" spans="2:9" ht="15" customHeight="1" x14ac:dyDescent="0.2">
      <c r="B20" s="9" t="s">
        <v>248</v>
      </c>
      <c r="C20" s="12">
        <f>SUM(LTBL_12216[総数／事業所数])</f>
        <v>2048</v>
      </c>
      <c r="E20" s="12">
        <f>SUBTOTAL(109,LTBL_12216[個人／事業所数])</f>
        <v>844</v>
      </c>
      <c r="G20" s="12">
        <f>SUBTOTAL(109,LTBL_12216[法人／事業所数])</f>
        <v>1196</v>
      </c>
      <c r="I20" s="12">
        <f>SUBTOTAL(109,LTBL_12216[法人以外の団体／事業所数])</f>
        <v>2</v>
      </c>
    </row>
    <row r="21" spans="2:9" ht="15" customHeight="1" x14ac:dyDescent="0.2">
      <c r="E21" s="11">
        <f>LTBL_12216[[#Totals],[個人／事業所数]]/LTBL_12216[[#Totals],[総数／事業所数]]</f>
        <v>0.412109375</v>
      </c>
      <c r="G21" s="11">
        <f>LTBL_12216[[#Totals],[法人／事業所数]]/LTBL_12216[[#Totals],[総数／事業所数]]</f>
        <v>0.583984375</v>
      </c>
      <c r="I21" s="11">
        <f>LTBL_12216[[#Totals],[法人以外の団体／事業所数]]/LTBL_12216[[#Totals],[総数／事業所数]]</f>
        <v>9.765625E-4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94</v>
      </c>
      <c r="C24" s="12">
        <v>247</v>
      </c>
      <c r="D24" s="8">
        <v>12.06</v>
      </c>
      <c r="E24" s="12">
        <v>87</v>
      </c>
      <c r="F24" s="8">
        <v>10.31</v>
      </c>
      <c r="G24" s="12">
        <v>159</v>
      </c>
      <c r="H24" s="8">
        <v>13.29</v>
      </c>
      <c r="I24" s="12">
        <v>1</v>
      </c>
    </row>
    <row r="25" spans="2:9" ht="15" customHeight="1" x14ac:dyDescent="0.2">
      <c r="B25" t="s">
        <v>98</v>
      </c>
      <c r="C25" s="12">
        <v>229</v>
      </c>
      <c r="D25" s="8">
        <v>11.18</v>
      </c>
      <c r="E25" s="12">
        <v>179</v>
      </c>
      <c r="F25" s="8">
        <v>21.21</v>
      </c>
      <c r="G25" s="12">
        <v>50</v>
      </c>
      <c r="H25" s="8">
        <v>4.18</v>
      </c>
      <c r="I25" s="12">
        <v>0</v>
      </c>
    </row>
    <row r="26" spans="2:9" ht="15" customHeight="1" x14ac:dyDescent="0.2">
      <c r="B26" t="s">
        <v>97</v>
      </c>
      <c r="C26" s="12">
        <v>226</v>
      </c>
      <c r="D26" s="8">
        <v>11.04</v>
      </c>
      <c r="E26" s="12">
        <v>174</v>
      </c>
      <c r="F26" s="8">
        <v>20.62</v>
      </c>
      <c r="G26" s="12">
        <v>52</v>
      </c>
      <c r="H26" s="8">
        <v>4.3499999999999996</v>
      </c>
      <c r="I26" s="12">
        <v>0</v>
      </c>
    </row>
    <row r="27" spans="2:9" ht="15" customHeight="1" x14ac:dyDescent="0.2">
      <c r="B27" t="s">
        <v>92</v>
      </c>
      <c r="C27" s="12">
        <v>122</v>
      </c>
      <c r="D27" s="8">
        <v>5.96</v>
      </c>
      <c r="E27" s="12">
        <v>52</v>
      </c>
      <c r="F27" s="8">
        <v>6.16</v>
      </c>
      <c r="G27" s="12">
        <v>70</v>
      </c>
      <c r="H27" s="8">
        <v>5.85</v>
      </c>
      <c r="I27" s="12">
        <v>0</v>
      </c>
    </row>
    <row r="28" spans="2:9" ht="15" customHeight="1" x14ac:dyDescent="0.2">
      <c r="B28" t="s">
        <v>101</v>
      </c>
      <c r="C28" s="12">
        <v>109</v>
      </c>
      <c r="D28" s="8">
        <v>5.32</v>
      </c>
      <c r="E28" s="12">
        <v>82</v>
      </c>
      <c r="F28" s="8">
        <v>9.7200000000000006</v>
      </c>
      <c r="G28" s="12">
        <v>26</v>
      </c>
      <c r="H28" s="8">
        <v>2.17</v>
      </c>
      <c r="I28" s="12">
        <v>0</v>
      </c>
    </row>
    <row r="29" spans="2:9" ht="15" customHeight="1" x14ac:dyDescent="0.2">
      <c r="B29" t="s">
        <v>100</v>
      </c>
      <c r="C29" s="12">
        <v>104</v>
      </c>
      <c r="D29" s="8">
        <v>5.08</v>
      </c>
      <c r="E29" s="12">
        <v>67</v>
      </c>
      <c r="F29" s="8">
        <v>7.94</v>
      </c>
      <c r="G29" s="12">
        <v>35</v>
      </c>
      <c r="H29" s="8">
        <v>2.93</v>
      </c>
      <c r="I29" s="12">
        <v>1</v>
      </c>
    </row>
    <row r="30" spans="2:9" ht="15" customHeight="1" x14ac:dyDescent="0.2">
      <c r="B30" t="s">
        <v>95</v>
      </c>
      <c r="C30" s="12">
        <v>90</v>
      </c>
      <c r="D30" s="8">
        <v>4.3899999999999997</v>
      </c>
      <c r="E30" s="12">
        <v>31</v>
      </c>
      <c r="F30" s="8">
        <v>3.67</v>
      </c>
      <c r="G30" s="12">
        <v>59</v>
      </c>
      <c r="H30" s="8">
        <v>4.93</v>
      </c>
      <c r="I30" s="12">
        <v>0</v>
      </c>
    </row>
    <row r="31" spans="2:9" ht="15" customHeight="1" x14ac:dyDescent="0.2">
      <c r="B31" t="s">
        <v>90</v>
      </c>
      <c r="C31" s="12">
        <v>77</v>
      </c>
      <c r="D31" s="8">
        <v>3.76</v>
      </c>
      <c r="E31" s="12">
        <v>36</v>
      </c>
      <c r="F31" s="8">
        <v>4.2699999999999996</v>
      </c>
      <c r="G31" s="12">
        <v>41</v>
      </c>
      <c r="H31" s="8">
        <v>3.43</v>
      </c>
      <c r="I31" s="12">
        <v>0</v>
      </c>
    </row>
    <row r="32" spans="2:9" ht="15" customHeight="1" x14ac:dyDescent="0.2">
      <c r="B32" t="s">
        <v>84</v>
      </c>
      <c r="C32" s="12">
        <v>72</v>
      </c>
      <c r="D32" s="8">
        <v>3.52</v>
      </c>
      <c r="E32" s="12">
        <v>9</v>
      </c>
      <c r="F32" s="8">
        <v>1.07</v>
      </c>
      <c r="G32" s="12">
        <v>63</v>
      </c>
      <c r="H32" s="8">
        <v>5.27</v>
      </c>
      <c r="I32" s="12">
        <v>0</v>
      </c>
    </row>
    <row r="33" spans="2:9" ht="15" customHeight="1" x14ac:dyDescent="0.2">
      <c r="B33" t="s">
        <v>86</v>
      </c>
      <c r="C33" s="12">
        <v>72</v>
      </c>
      <c r="D33" s="8">
        <v>3.52</v>
      </c>
      <c r="E33" s="12">
        <v>3</v>
      </c>
      <c r="F33" s="8">
        <v>0.36</v>
      </c>
      <c r="G33" s="12">
        <v>69</v>
      </c>
      <c r="H33" s="8">
        <v>5.77</v>
      </c>
      <c r="I33" s="12">
        <v>0</v>
      </c>
    </row>
    <row r="34" spans="2:9" ht="15" customHeight="1" x14ac:dyDescent="0.2">
      <c r="B34" t="s">
        <v>96</v>
      </c>
      <c r="C34" s="12">
        <v>72</v>
      </c>
      <c r="D34" s="8">
        <v>3.52</v>
      </c>
      <c r="E34" s="12">
        <v>16</v>
      </c>
      <c r="F34" s="8">
        <v>1.9</v>
      </c>
      <c r="G34" s="12">
        <v>56</v>
      </c>
      <c r="H34" s="8">
        <v>4.68</v>
      </c>
      <c r="I34" s="12">
        <v>0</v>
      </c>
    </row>
    <row r="35" spans="2:9" ht="15" customHeight="1" x14ac:dyDescent="0.2">
      <c r="B35" t="s">
        <v>85</v>
      </c>
      <c r="C35" s="12">
        <v>70</v>
      </c>
      <c r="D35" s="8">
        <v>3.42</v>
      </c>
      <c r="E35" s="12">
        <v>12</v>
      </c>
      <c r="F35" s="8">
        <v>1.42</v>
      </c>
      <c r="G35" s="12">
        <v>58</v>
      </c>
      <c r="H35" s="8">
        <v>4.8499999999999996</v>
      </c>
      <c r="I35" s="12">
        <v>0</v>
      </c>
    </row>
    <row r="36" spans="2:9" ht="15" customHeight="1" x14ac:dyDescent="0.2">
      <c r="B36" t="s">
        <v>93</v>
      </c>
      <c r="C36" s="12">
        <v>46</v>
      </c>
      <c r="D36" s="8">
        <v>2.25</v>
      </c>
      <c r="E36" s="12">
        <v>3</v>
      </c>
      <c r="F36" s="8">
        <v>0.36</v>
      </c>
      <c r="G36" s="12">
        <v>43</v>
      </c>
      <c r="H36" s="8">
        <v>3.6</v>
      </c>
      <c r="I36" s="12">
        <v>0</v>
      </c>
    </row>
    <row r="37" spans="2:9" ht="15" customHeight="1" x14ac:dyDescent="0.2">
      <c r="B37" t="s">
        <v>99</v>
      </c>
      <c r="C37" s="12">
        <v>36</v>
      </c>
      <c r="D37" s="8">
        <v>1.76</v>
      </c>
      <c r="E37" s="12">
        <v>15</v>
      </c>
      <c r="F37" s="8">
        <v>1.78</v>
      </c>
      <c r="G37" s="12">
        <v>20</v>
      </c>
      <c r="H37" s="8">
        <v>1.67</v>
      </c>
      <c r="I37" s="12">
        <v>0</v>
      </c>
    </row>
    <row r="38" spans="2:9" ht="15" customHeight="1" x14ac:dyDescent="0.2">
      <c r="B38" t="s">
        <v>91</v>
      </c>
      <c r="C38" s="12">
        <v>34</v>
      </c>
      <c r="D38" s="8">
        <v>1.66</v>
      </c>
      <c r="E38" s="12">
        <v>15</v>
      </c>
      <c r="F38" s="8">
        <v>1.78</v>
      </c>
      <c r="G38" s="12">
        <v>19</v>
      </c>
      <c r="H38" s="8">
        <v>1.59</v>
      </c>
      <c r="I38" s="12">
        <v>0</v>
      </c>
    </row>
    <row r="39" spans="2:9" ht="15" customHeight="1" x14ac:dyDescent="0.2">
      <c r="B39" t="s">
        <v>89</v>
      </c>
      <c r="C39" s="12">
        <v>33</v>
      </c>
      <c r="D39" s="8">
        <v>1.61</v>
      </c>
      <c r="E39" s="12">
        <v>11</v>
      </c>
      <c r="F39" s="8">
        <v>1.3</v>
      </c>
      <c r="G39" s="12">
        <v>22</v>
      </c>
      <c r="H39" s="8">
        <v>1.84</v>
      </c>
      <c r="I39" s="12">
        <v>0</v>
      </c>
    </row>
    <row r="40" spans="2:9" ht="15" customHeight="1" x14ac:dyDescent="0.2">
      <c r="B40" t="s">
        <v>102</v>
      </c>
      <c r="C40" s="12">
        <v>32</v>
      </c>
      <c r="D40" s="8">
        <v>1.56</v>
      </c>
      <c r="E40" s="12">
        <v>1</v>
      </c>
      <c r="F40" s="8">
        <v>0.12</v>
      </c>
      <c r="G40" s="12">
        <v>30</v>
      </c>
      <c r="H40" s="8">
        <v>2.5099999999999998</v>
      </c>
      <c r="I40" s="12">
        <v>0</v>
      </c>
    </row>
    <row r="41" spans="2:9" ht="15" customHeight="1" x14ac:dyDescent="0.2">
      <c r="B41" t="s">
        <v>88</v>
      </c>
      <c r="C41" s="12">
        <v>28</v>
      </c>
      <c r="D41" s="8">
        <v>1.37</v>
      </c>
      <c r="E41" s="12">
        <v>1</v>
      </c>
      <c r="F41" s="8">
        <v>0.12</v>
      </c>
      <c r="G41" s="12">
        <v>27</v>
      </c>
      <c r="H41" s="8">
        <v>2.2599999999999998</v>
      </c>
      <c r="I41" s="12">
        <v>0</v>
      </c>
    </row>
    <row r="42" spans="2:9" ht="15" customHeight="1" x14ac:dyDescent="0.2">
      <c r="B42" t="s">
        <v>104</v>
      </c>
      <c r="C42" s="12">
        <v>26</v>
      </c>
      <c r="D42" s="8">
        <v>1.27</v>
      </c>
      <c r="E42" s="12">
        <v>2</v>
      </c>
      <c r="F42" s="8">
        <v>0.24</v>
      </c>
      <c r="G42" s="12">
        <v>24</v>
      </c>
      <c r="H42" s="8">
        <v>2.0099999999999998</v>
      </c>
      <c r="I42" s="12">
        <v>0</v>
      </c>
    </row>
    <row r="43" spans="2:9" ht="15" customHeight="1" x14ac:dyDescent="0.2">
      <c r="B43" t="s">
        <v>105</v>
      </c>
      <c r="C43" s="12">
        <v>26</v>
      </c>
      <c r="D43" s="8">
        <v>1.27</v>
      </c>
      <c r="E43" s="12">
        <v>1</v>
      </c>
      <c r="F43" s="8">
        <v>0.12</v>
      </c>
      <c r="G43" s="12">
        <v>25</v>
      </c>
      <c r="H43" s="8">
        <v>2.09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158</v>
      </c>
      <c r="C47" s="12">
        <v>163</v>
      </c>
      <c r="D47" s="8">
        <v>7.96</v>
      </c>
      <c r="E47" s="12">
        <v>69</v>
      </c>
      <c r="F47" s="8">
        <v>8.18</v>
      </c>
      <c r="G47" s="12">
        <v>94</v>
      </c>
      <c r="H47" s="8">
        <v>7.86</v>
      </c>
      <c r="I47" s="12">
        <v>0</v>
      </c>
    </row>
    <row r="48" spans="2:9" ht="15" customHeight="1" x14ac:dyDescent="0.2">
      <c r="B48" t="s">
        <v>164</v>
      </c>
      <c r="C48" s="12">
        <v>102</v>
      </c>
      <c r="D48" s="8">
        <v>4.9800000000000004</v>
      </c>
      <c r="E48" s="12">
        <v>86</v>
      </c>
      <c r="F48" s="8">
        <v>10.19</v>
      </c>
      <c r="G48" s="12">
        <v>16</v>
      </c>
      <c r="H48" s="8">
        <v>1.34</v>
      </c>
      <c r="I48" s="12">
        <v>0</v>
      </c>
    </row>
    <row r="49" spans="2:9" ht="15" customHeight="1" x14ac:dyDescent="0.2">
      <c r="B49" t="s">
        <v>162</v>
      </c>
      <c r="C49" s="12">
        <v>79</v>
      </c>
      <c r="D49" s="8">
        <v>3.86</v>
      </c>
      <c r="E49" s="12">
        <v>72</v>
      </c>
      <c r="F49" s="8">
        <v>8.5299999999999994</v>
      </c>
      <c r="G49" s="12">
        <v>7</v>
      </c>
      <c r="H49" s="8">
        <v>0.59</v>
      </c>
      <c r="I49" s="12">
        <v>0</v>
      </c>
    </row>
    <row r="50" spans="2:9" ht="15" customHeight="1" x14ac:dyDescent="0.2">
      <c r="B50" t="s">
        <v>163</v>
      </c>
      <c r="C50" s="12">
        <v>79</v>
      </c>
      <c r="D50" s="8">
        <v>3.86</v>
      </c>
      <c r="E50" s="12">
        <v>66</v>
      </c>
      <c r="F50" s="8">
        <v>7.82</v>
      </c>
      <c r="G50" s="12">
        <v>13</v>
      </c>
      <c r="H50" s="8">
        <v>1.0900000000000001</v>
      </c>
      <c r="I50" s="12">
        <v>0</v>
      </c>
    </row>
    <row r="51" spans="2:9" ht="15" customHeight="1" x14ac:dyDescent="0.2">
      <c r="B51" t="s">
        <v>166</v>
      </c>
      <c r="C51" s="12">
        <v>69</v>
      </c>
      <c r="D51" s="8">
        <v>3.37</v>
      </c>
      <c r="E51" s="12">
        <v>50</v>
      </c>
      <c r="F51" s="8">
        <v>5.92</v>
      </c>
      <c r="G51" s="12">
        <v>19</v>
      </c>
      <c r="H51" s="8">
        <v>1.59</v>
      </c>
      <c r="I51" s="12">
        <v>0</v>
      </c>
    </row>
    <row r="52" spans="2:9" ht="15" customHeight="1" x14ac:dyDescent="0.2">
      <c r="B52" t="s">
        <v>165</v>
      </c>
      <c r="C52" s="12">
        <v>67</v>
      </c>
      <c r="D52" s="8">
        <v>3.27</v>
      </c>
      <c r="E52" s="12">
        <v>46</v>
      </c>
      <c r="F52" s="8">
        <v>5.45</v>
      </c>
      <c r="G52" s="12">
        <v>20</v>
      </c>
      <c r="H52" s="8">
        <v>1.67</v>
      </c>
      <c r="I52" s="12">
        <v>1</v>
      </c>
    </row>
    <row r="53" spans="2:9" ht="15" customHeight="1" x14ac:dyDescent="0.2">
      <c r="B53" t="s">
        <v>161</v>
      </c>
      <c r="C53" s="12">
        <v>60</v>
      </c>
      <c r="D53" s="8">
        <v>2.93</v>
      </c>
      <c r="E53" s="12">
        <v>41</v>
      </c>
      <c r="F53" s="8">
        <v>4.8600000000000003</v>
      </c>
      <c r="G53" s="12">
        <v>19</v>
      </c>
      <c r="H53" s="8">
        <v>1.59</v>
      </c>
      <c r="I53" s="12">
        <v>0</v>
      </c>
    </row>
    <row r="54" spans="2:9" ht="15" customHeight="1" x14ac:dyDescent="0.2">
      <c r="B54" t="s">
        <v>160</v>
      </c>
      <c r="C54" s="12">
        <v>47</v>
      </c>
      <c r="D54" s="8">
        <v>2.29</v>
      </c>
      <c r="E54" s="12">
        <v>7</v>
      </c>
      <c r="F54" s="8">
        <v>0.83</v>
      </c>
      <c r="G54" s="12">
        <v>40</v>
      </c>
      <c r="H54" s="8">
        <v>3.34</v>
      </c>
      <c r="I54" s="12">
        <v>0</v>
      </c>
    </row>
    <row r="55" spans="2:9" ht="15" customHeight="1" x14ac:dyDescent="0.2">
      <c r="B55" t="s">
        <v>156</v>
      </c>
      <c r="C55" s="12">
        <v>42</v>
      </c>
      <c r="D55" s="8">
        <v>2.0499999999999998</v>
      </c>
      <c r="E55" s="12">
        <v>19</v>
      </c>
      <c r="F55" s="8">
        <v>2.25</v>
      </c>
      <c r="G55" s="12">
        <v>23</v>
      </c>
      <c r="H55" s="8">
        <v>1.92</v>
      </c>
      <c r="I55" s="12">
        <v>0</v>
      </c>
    </row>
    <row r="56" spans="2:9" ht="15" customHeight="1" x14ac:dyDescent="0.2">
      <c r="B56" t="s">
        <v>178</v>
      </c>
      <c r="C56" s="12">
        <v>41</v>
      </c>
      <c r="D56" s="8">
        <v>2</v>
      </c>
      <c r="E56" s="12">
        <v>3</v>
      </c>
      <c r="F56" s="8">
        <v>0.36</v>
      </c>
      <c r="G56" s="12">
        <v>38</v>
      </c>
      <c r="H56" s="8">
        <v>3.18</v>
      </c>
      <c r="I56" s="12">
        <v>0</v>
      </c>
    </row>
    <row r="57" spans="2:9" ht="15" customHeight="1" x14ac:dyDescent="0.2">
      <c r="B57" t="s">
        <v>157</v>
      </c>
      <c r="C57" s="12">
        <v>38</v>
      </c>
      <c r="D57" s="8">
        <v>1.86</v>
      </c>
      <c r="E57" s="12">
        <v>6</v>
      </c>
      <c r="F57" s="8">
        <v>0.71</v>
      </c>
      <c r="G57" s="12">
        <v>31</v>
      </c>
      <c r="H57" s="8">
        <v>2.59</v>
      </c>
      <c r="I57" s="12">
        <v>1</v>
      </c>
    </row>
    <row r="58" spans="2:9" ht="15" customHeight="1" x14ac:dyDescent="0.2">
      <c r="B58" t="s">
        <v>170</v>
      </c>
      <c r="C58" s="12">
        <v>34</v>
      </c>
      <c r="D58" s="8">
        <v>1.66</v>
      </c>
      <c r="E58" s="12">
        <v>31</v>
      </c>
      <c r="F58" s="8">
        <v>3.67</v>
      </c>
      <c r="G58" s="12">
        <v>2</v>
      </c>
      <c r="H58" s="8">
        <v>0.17</v>
      </c>
      <c r="I58" s="12">
        <v>0</v>
      </c>
    </row>
    <row r="59" spans="2:9" ht="15" customHeight="1" x14ac:dyDescent="0.2">
      <c r="B59" t="s">
        <v>171</v>
      </c>
      <c r="C59" s="12">
        <v>33</v>
      </c>
      <c r="D59" s="8">
        <v>1.61</v>
      </c>
      <c r="E59" s="12">
        <v>2</v>
      </c>
      <c r="F59" s="8">
        <v>0.24</v>
      </c>
      <c r="G59" s="12">
        <v>31</v>
      </c>
      <c r="H59" s="8">
        <v>2.59</v>
      </c>
      <c r="I59" s="12">
        <v>0</v>
      </c>
    </row>
    <row r="60" spans="2:9" ht="15" customHeight="1" x14ac:dyDescent="0.2">
      <c r="B60" t="s">
        <v>154</v>
      </c>
      <c r="C60" s="12">
        <v>32</v>
      </c>
      <c r="D60" s="8">
        <v>1.56</v>
      </c>
      <c r="E60" s="12">
        <v>12</v>
      </c>
      <c r="F60" s="8">
        <v>1.42</v>
      </c>
      <c r="G60" s="12">
        <v>20</v>
      </c>
      <c r="H60" s="8">
        <v>1.67</v>
      </c>
      <c r="I60" s="12">
        <v>0</v>
      </c>
    </row>
    <row r="61" spans="2:9" ht="15" customHeight="1" x14ac:dyDescent="0.2">
      <c r="B61" t="s">
        <v>180</v>
      </c>
      <c r="C61" s="12">
        <v>31</v>
      </c>
      <c r="D61" s="8">
        <v>1.51</v>
      </c>
      <c r="E61" s="12">
        <v>21</v>
      </c>
      <c r="F61" s="8">
        <v>2.4900000000000002</v>
      </c>
      <c r="G61" s="12">
        <v>10</v>
      </c>
      <c r="H61" s="8">
        <v>0.84</v>
      </c>
      <c r="I61" s="12">
        <v>0</v>
      </c>
    </row>
    <row r="62" spans="2:9" ht="15" customHeight="1" x14ac:dyDescent="0.2">
      <c r="B62" t="s">
        <v>168</v>
      </c>
      <c r="C62" s="12">
        <v>30</v>
      </c>
      <c r="D62" s="8">
        <v>1.46</v>
      </c>
      <c r="E62" s="12">
        <v>13</v>
      </c>
      <c r="F62" s="8">
        <v>1.54</v>
      </c>
      <c r="G62" s="12">
        <v>17</v>
      </c>
      <c r="H62" s="8">
        <v>1.42</v>
      </c>
      <c r="I62" s="12">
        <v>0</v>
      </c>
    </row>
    <row r="63" spans="2:9" ht="15" customHeight="1" x14ac:dyDescent="0.2">
      <c r="B63" t="s">
        <v>169</v>
      </c>
      <c r="C63" s="12">
        <v>29</v>
      </c>
      <c r="D63" s="8">
        <v>1.42</v>
      </c>
      <c r="E63" s="12">
        <v>15</v>
      </c>
      <c r="F63" s="8">
        <v>1.78</v>
      </c>
      <c r="G63" s="12">
        <v>14</v>
      </c>
      <c r="H63" s="8">
        <v>1.17</v>
      </c>
      <c r="I63" s="12">
        <v>0</v>
      </c>
    </row>
    <row r="64" spans="2:9" ht="15" customHeight="1" x14ac:dyDescent="0.2">
      <c r="B64" t="s">
        <v>153</v>
      </c>
      <c r="C64" s="12">
        <v>28</v>
      </c>
      <c r="D64" s="8">
        <v>1.37</v>
      </c>
      <c r="E64" s="12">
        <v>1</v>
      </c>
      <c r="F64" s="8">
        <v>0.12</v>
      </c>
      <c r="G64" s="12">
        <v>27</v>
      </c>
      <c r="H64" s="8">
        <v>2.2599999999999998</v>
      </c>
      <c r="I64" s="12">
        <v>0</v>
      </c>
    </row>
    <row r="65" spans="2:9" ht="15" customHeight="1" x14ac:dyDescent="0.2">
      <c r="B65" t="s">
        <v>152</v>
      </c>
      <c r="C65" s="12">
        <v>27</v>
      </c>
      <c r="D65" s="8">
        <v>1.32</v>
      </c>
      <c r="E65" s="12">
        <v>1</v>
      </c>
      <c r="F65" s="8">
        <v>0.12</v>
      </c>
      <c r="G65" s="12">
        <v>26</v>
      </c>
      <c r="H65" s="8">
        <v>2.17</v>
      </c>
      <c r="I65" s="12">
        <v>0</v>
      </c>
    </row>
    <row r="66" spans="2:9" ht="15" customHeight="1" x14ac:dyDescent="0.2">
      <c r="B66" t="s">
        <v>159</v>
      </c>
      <c r="C66" s="12">
        <v>26</v>
      </c>
      <c r="D66" s="8">
        <v>1.27</v>
      </c>
      <c r="E66" s="12">
        <v>0</v>
      </c>
      <c r="F66" s="8">
        <v>0</v>
      </c>
      <c r="G66" s="12">
        <v>26</v>
      </c>
      <c r="H66" s="8">
        <v>2.17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2245C-C1F6-401E-A008-BDBA9C4D214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272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946</v>
      </c>
      <c r="D6" s="8">
        <v>15.03</v>
      </c>
      <c r="E6" s="12">
        <v>134</v>
      </c>
      <c r="F6" s="8">
        <v>5.83</v>
      </c>
      <c r="G6" s="12">
        <v>812</v>
      </c>
      <c r="H6" s="8">
        <v>20.45</v>
      </c>
      <c r="I6" s="12">
        <v>0</v>
      </c>
    </row>
    <row r="7" spans="2:9" ht="15" customHeight="1" x14ac:dyDescent="0.2">
      <c r="B7" t="s">
        <v>63</v>
      </c>
      <c r="C7" s="12">
        <v>367</v>
      </c>
      <c r="D7" s="8">
        <v>5.83</v>
      </c>
      <c r="E7" s="12">
        <v>81</v>
      </c>
      <c r="F7" s="8">
        <v>3.52</v>
      </c>
      <c r="G7" s="12">
        <v>286</v>
      </c>
      <c r="H7" s="8">
        <v>7.2</v>
      </c>
      <c r="I7" s="12">
        <v>0</v>
      </c>
    </row>
    <row r="8" spans="2:9" ht="15" customHeight="1" x14ac:dyDescent="0.2">
      <c r="B8" t="s">
        <v>64</v>
      </c>
      <c r="C8" s="12">
        <v>10</v>
      </c>
      <c r="D8" s="8">
        <v>0.16</v>
      </c>
      <c r="E8" s="12">
        <v>0</v>
      </c>
      <c r="F8" s="8">
        <v>0</v>
      </c>
      <c r="G8" s="12">
        <v>10</v>
      </c>
      <c r="H8" s="8">
        <v>0.25</v>
      </c>
      <c r="I8" s="12">
        <v>0</v>
      </c>
    </row>
    <row r="9" spans="2:9" ht="15" customHeight="1" x14ac:dyDescent="0.2">
      <c r="B9" t="s">
        <v>65</v>
      </c>
      <c r="C9" s="12">
        <v>121</v>
      </c>
      <c r="D9" s="8">
        <v>1.92</v>
      </c>
      <c r="E9" s="12">
        <v>0</v>
      </c>
      <c r="F9" s="8">
        <v>0</v>
      </c>
      <c r="G9" s="12">
        <v>121</v>
      </c>
      <c r="H9" s="8">
        <v>3.05</v>
      </c>
      <c r="I9" s="12">
        <v>0</v>
      </c>
    </row>
    <row r="10" spans="2:9" ht="15" customHeight="1" x14ac:dyDescent="0.2">
      <c r="B10" t="s">
        <v>66</v>
      </c>
      <c r="C10" s="12">
        <v>70</v>
      </c>
      <c r="D10" s="8">
        <v>1.1100000000000001</v>
      </c>
      <c r="E10" s="12">
        <v>7</v>
      </c>
      <c r="F10" s="8">
        <v>0.3</v>
      </c>
      <c r="G10" s="12">
        <v>63</v>
      </c>
      <c r="H10" s="8">
        <v>1.59</v>
      </c>
      <c r="I10" s="12">
        <v>0</v>
      </c>
    </row>
    <row r="11" spans="2:9" ht="15" customHeight="1" x14ac:dyDescent="0.2">
      <c r="B11" t="s">
        <v>67</v>
      </c>
      <c r="C11" s="12">
        <v>1245</v>
      </c>
      <c r="D11" s="8">
        <v>19.78</v>
      </c>
      <c r="E11" s="12">
        <v>358</v>
      </c>
      <c r="F11" s="8">
        <v>15.57</v>
      </c>
      <c r="G11" s="12">
        <v>885</v>
      </c>
      <c r="H11" s="8">
        <v>22.29</v>
      </c>
      <c r="I11" s="12">
        <v>2</v>
      </c>
    </row>
    <row r="12" spans="2:9" ht="15" customHeight="1" x14ac:dyDescent="0.2">
      <c r="B12" t="s">
        <v>68</v>
      </c>
      <c r="C12" s="12">
        <v>43</v>
      </c>
      <c r="D12" s="8">
        <v>0.68</v>
      </c>
      <c r="E12" s="12">
        <v>4</v>
      </c>
      <c r="F12" s="8">
        <v>0.17</v>
      </c>
      <c r="G12" s="12">
        <v>39</v>
      </c>
      <c r="H12" s="8">
        <v>0.98</v>
      </c>
      <c r="I12" s="12">
        <v>0</v>
      </c>
    </row>
    <row r="13" spans="2:9" ht="15" customHeight="1" x14ac:dyDescent="0.2">
      <c r="B13" t="s">
        <v>69</v>
      </c>
      <c r="C13" s="12">
        <v>703</v>
      </c>
      <c r="D13" s="8">
        <v>11.17</v>
      </c>
      <c r="E13" s="12">
        <v>127</v>
      </c>
      <c r="F13" s="8">
        <v>5.52</v>
      </c>
      <c r="G13" s="12">
        <v>573</v>
      </c>
      <c r="H13" s="8">
        <v>14.43</v>
      </c>
      <c r="I13" s="12">
        <v>1</v>
      </c>
    </row>
    <row r="14" spans="2:9" ht="15" customHeight="1" x14ac:dyDescent="0.2">
      <c r="B14" t="s">
        <v>70</v>
      </c>
      <c r="C14" s="12">
        <v>442</v>
      </c>
      <c r="D14" s="8">
        <v>7.02</v>
      </c>
      <c r="E14" s="12">
        <v>156</v>
      </c>
      <c r="F14" s="8">
        <v>6.78</v>
      </c>
      <c r="G14" s="12">
        <v>285</v>
      </c>
      <c r="H14" s="8">
        <v>7.18</v>
      </c>
      <c r="I14" s="12">
        <v>0</v>
      </c>
    </row>
    <row r="15" spans="2:9" ht="15" customHeight="1" x14ac:dyDescent="0.2">
      <c r="B15" t="s">
        <v>71</v>
      </c>
      <c r="C15" s="12">
        <v>612</v>
      </c>
      <c r="D15" s="8">
        <v>9.73</v>
      </c>
      <c r="E15" s="12">
        <v>452</v>
      </c>
      <c r="F15" s="8">
        <v>19.649999999999999</v>
      </c>
      <c r="G15" s="12">
        <v>158</v>
      </c>
      <c r="H15" s="8">
        <v>3.98</v>
      </c>
      <c r="I15" s="12">
        <v>0</v>
      </c>
    </row>
    <row r="16" spans="2:9" ht="15" customHeight="1" x14ac:dyDescent="0.2">
      <c r="B16" t="s">
        <v>72</v>
      </c>
      <c r="C16" s="12">
        <v>777</v>
      </c>
      <c r="D16" s="8">
        <v>12.35</v>
      </c>
      <c r="E16" s="12">
        <v>518</v>
      </c>
      <c r="F16" s="8">
        <v>22.52</v>
      </c>
      <c r="G16" s="12">
        <v>259</v>
      </c>
      <c r="H16" s="8">
        <v>6.52</v>
      </c>
      <c r="I16" s="12">
        <v>0</v>
      </c>
    </row>
    <row r="17" spans="2:9" ht="15" customHeight="1" x14ac:dyDescent="0.2">
      <c r="B17" t="s">
        <v>73</v>
      </c>
      <c r="C17" s="12">
        <v>304</v>
      </c>
      <c r="D17" s="8">
        <v>4.83</v>
      </c>
      <c r="E17" s="12">
        <v>182</v>
      </c>
      <c r="F17" s="8">
        <v>7.91</v>
      </c>
      <c r="G17" s="12">
        <v>122</v>
      </c>
      <c r="H17" s="8">
        <v>3.07</v>
      </c>
      <c r="I17" s="12">
        <v>0</v>
      </c>
    </row>
    <row r="18" spans="2:9" ht="15" customHeight="1" x14ac:dyDescent="0.2">
      <c r="B18" t="s">
        <v>74</v>
      </c>
      <c r="C18" s="12">
        <v>385</v>
      </c>
      <c r="D18" s="8">
        <v>6.12</v>
      </c>
      <c r="E18" s="12">
        <v>233</v>
      </c>
      <c r="F18" s="8">
        <v>10.130000000000001</v>
      </c>
      <c r="G18" s="12">
        <v>148</v>
      </c>
      <c r="H18" s="8">
        <v>3.73</v>
      </c>
      <c r="I18" s="12">
        <v>0</v>
      </c>
    </row>
    <row r="19" spans="2:9" ht="15" customHeight="1" x14ac:dyDescent="0.2">
      <c r="B19" t="s">
        <v>75</v>
      </c>
      <c r="C19" s="12">
        <v>268</v>
      </c>
      <c r="D19" s="8">
        <v>4.26</v>
      </c>
      <c r="E19" s="12">
        <v>48</v>
      </c>
      <c r="F19" s="8">
        <v>2.09</v>
      </c>
      <c r="G19" s="12">
        <v>210</v>
      </c>
      <c r="H19" s="8">
        <v>5.29</v>
      </c>
      <c r="I19" s="12">
        <v>1</v>
      </c>
    </row>
    <row r="20" spans="2:9" ht="15" customHeight="1" x14ac:dyDescent="0.2">
      <c r="B20" s="9" t="s">
        <v>248</v>
      </c>
      <c r="C20" s="12">
        <f>SUM(LTBL_12217[総数／事業所数])</f>
        <v>6293</v>
      </c>
      <c r="E20" s="12">
        <f>SUBTOTAL(109,LTBL_12217[個人／事業所数])</f>
        <v>2300</v>
      </c>
      <c r="G20" s="12">
        <f>SUBTOTAL(109,LTBL_12217[法人／事業所数])</f>
        <v>3971</v>
      </c>
      <c r="I20" s="12">
        <f>SUBTOTAL(109,LTBL_12217[法人以外の団体／事業所数])</f>
        <v>4</v>
      </c>
    </row>
    <row r="21" spans="2:9" ht="15" customHeight="1" x14ac:dyDescent="0.2">
      <c r="E21" s="11">
        <f>LTBL_12217[[#Totals],[個人／事業所数]]/LTBL_12217[[#Totals],[総数／事業所数]]</f>
        <v>0.36548546003495946</v>
      </c>
      <c r="G21" s="11">
        <f>LTBL_12217[[#Totals],[法人／事業所数]]/LTBL_12217[[#Totals],[総数／事業所数]]</f>
        <v>0.63101859208644528</v>
      </c>
      <c r="I21" s="11">
        <f>LTBL_12217[[#Totals],[法人以外の団体／事業所数]]/LTBL_12217[[#Totals],[総数／事業所数]]</f>
        <v>6.3562688701732084E-4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625</v>
      </c>
      <c r="D24" s="8">
        <v>9.93</v>
      </c>
      <c r="E24" s="12">
        <v>470</v>
      </c>
      <c r="F24" s="8">
        <v>20.43</v>
      </c>
      <c r="G24" s="12">
        <v>155</v>
      </c>
      <c r="H24" s="8">
        <v>3.9</v>
      </c>
      <c r="I24" s="12">
        <v>0</v>
      </c>
    </row>
    <row r="25" spans="2:9" ht="15" customHeight="1" x14ac:dyDescent="0.2">
      <c r="B25" t="s">
        <v>94</v>
      </c>
      <c r="C25" s="12">
        <v>569</v>
      </c>
      <c r="D25" s="8">
        <v>9.0399999999999991</v>
      </c>
      <c r="E25" s="12">
        <v>118</v>
      </c>
      <c r="F25" s="8">
        <v>5.13</v>
      </c>
      <c r="G25" s="12">
        <v>448</v>
      </c>
      <c r="H25" s="8">
        <v>11.28</v>
      </c>
      <c r="I25" s="12">
        <v>1</v>
      </c>
    </row>
    <row r="26" spans="2:9" ht="15" customHeight="1" x14ac:dyDescent="0.2">
      <c r="B26" t="s">
        <v>97</v>
      </c>
      <c r="C26" s="12">
        <v>556</v>
      </c>
      <c r="D26" s="8">
        <v>8.84</v>
      </c>
      <c r="E26" s="12">
        <v>438</v>
      </c>
      <c r="F26" s="8">
        <v>19.04</v>
      </c>
      <c r="G26" s="12">
        <v>118</v>
      </c>
      <c r="H26" s="8">
        <v>2.97</v>
      </c>
      <c r="I26" s="12">
        <v>0</v>
      </c>
    </row>
    <row r="27" spans="2:9" ht="15" customHeight="1" x14ac:dyDescent="0.2">
      <c r="B27" t="s">
        <v>84</v>
      </c>
      <c r="C27" s="12">
        <v>377</v>
      </c>
      <c r="D27" s="8">
        <v>5.99</v>
      </c>
      <c r="E27" s="12">
        <v>45</v>
      </c>
      <c r="F27" s="8">
        <v>1.96</v>
      </c>
      <c r="G27" s="12">
        <v>332</v>
      </c>
      <c r="H27" s="8">
        <v>8.36</v>
      </c>
      <c r="I27" s="12">
        <v>0</v>
      </c>
    </row>
    <row r="28" spans="2:9" ht="15" customHeight="1" x14ac:dyDescent="0.2">
      <c r="B28" t="s">
        <v>85</v>
      </c>
      <c r="C28" s="12">
        <v>346</v>
      </c>
      <c r="D28" s="8">
        <v>5.5</v>
      </c>
      <c r="E28" s="12">
        <v>64</v>
      </c>
      <c r="F28" s="8">
        <v>2.78</v>
      </c>
      <c r="G28" s="12">
        <v>282</v>
      </c>
      <c r="H28" s="8">
        <v>7.1</v>
      </c>
      <c r="I28" s="12">
        <v>0</v>
      </c>
    </row>
    <row r="29" spans="2:9" ht="15" customHeight="1" x14ac:dyDescent="0.2">
      <c r="B29" t="s">
        <v>92</v>
      </c>
      <c r="C29" s="12">
        <v>315</v>
      </c>
      <c r="D29" s="8">
        <v>5.01</v>
      </c>
      <c r="E29" s="12">
        <v>107</v>
      </c>
      <c r="F29" s="8">
        <v>4.6500000000000004</v>
      </c>
      <c r="G29" s="12">
        <v>208</v>
      </c>
      <c r="H29" s="8">
        <v>5.24</v>
      </c>
      <c r="I29" s="12">
        <v>0</v>
      </c>
    </row>
    <row r="30" spans="2:9" ht="15" customHeight="1" x14ac:dyDescent="0.2">
      <c r="B30" t="s">
        <v>100</v>
      </c>
      <c r="C30" s="12">
        <v>304</v>
      </c>
      <c r="D30" s="8">
        <v>4.83</v>
      </c>
      <c r="E30" s="12">
        <v>182</v>
      </c>
      <c r="F30" s="8">
        <v>7.91</v>
      </c>
      <c r="G30" s="12">
        <v>122</v>
      </c>
      <c r="H30" s="8">
        <v>3.07</v>
      </c>
      <c r="I30" s="12">
        <v>0</v>
      </c>
    </row>
    <row r="31" spans="2:9" ht="15" customHeight="1" x14ac:dyDescent="0.2">
      <c r="B31" t="s">
        <v>101</v>
      </c>
      <c r="C31" s="12">
        <v>294</v>
      </c>
      <c r="D31" s="8">
        <v>4.67</v>
      </c>
      <c r="E31" s="12">
        <v>232</v>
      </c>
      <c r="F31" s="8">
        <v>10.09</v>
      </c>
      <c r="G31" s="12">
        <v>62</v>
      </c>
      <c r="H31" s="8">
        <v>1.56</v>
      </c>
      <c r="I31" s="12">
        <v>0</v>
      </c>
    </row>
    <row r="32" spans="2:9" ht="15" customHeight="1" x14ac:dyDescent="0.2">
      <c r="B32" t="s">
        <v>95</v>
      </c>
      <c r="C32" s="12">
        <v>276</v>
      </c>
      <c r="D32" s="8">
        <v>4.3899999999999997</v>
      </c>
      <c r="E32" s="12">
        <v>119</v>
      </c>
      <c r="F32" s="8">
        <v>5.17</v>
      </c>
      <c r="G32" s="12">
        <v>157</v>
      </c>
      <c r="H32" s="8">
        <v>3.95</v>
      </c>
      <c r="I32" s="12">
        <v>0</v>
      </c>
    </row>
    <row r="33" spans="2:9" ht="15" customHeight="1" x14ac:dyDescent="0.2">
      <c r="B33" t="s">
        <v>86</v>
      </c>
      <c r="C33" s="12">
        <v>223</v>
      </c>
      <c r="D33" s="8">
        <v>3.54</v>
      </c>
      <c r="E33" s="12">
        <v>25</v>
      </c>
      <c r="F33" s="8">
        <v>1.0900000000000001</v>
      </c>
      <c r="G33" s="12">
        <v>198</v>
      </c>
      <c r="H33" s="8">
        <v>4.99</v>
      </c>
      <c r="I33" s="12">
        <v>0</v>
      </c>
    </row>
    <row r="34" spans="2:9" ht="15" customHeight="1" x14ac:dyDescent="0.2">
      <c r="B34" t="s">
        <v>91</v>
      </c>
      <c r="C34" s="12">
        <v>173</v>
      </c>
      <c r="D34" s="8">
        <v>2.75</v>
      </c>
      <c r="E34" s="12">
        <v>81</v>
      </c>
      <c r="F34" s="8">
        <v>3.52</v>
      </c>
      <c r="G34" s="12">
        <v>92</v>
      </c>
      <c r="H34" s="8">
        <v>2.3199999999999998</v>
      </c>
      <c r="I34" s="12">
        <v>0</v>
      </c>
    </row>
    <row r="35" spans="2:9" ht="15" customHeight="1" x14ac:dyDescent="0.2">
      <c r="B35" t="s">
        <v>90</v>
      </c>
      <c r="C35" s="12">
        <v>169</v>
      </c>
      <c r="D35" s="8">
        <v>2.69</v>
      </c>
      <c r="E35" s="12">
        <v>102</v>
      </c>
      <c r="F35" s="8">
        <v>4.43</v>
      </c>
      <c r="G35" s="12">
        <v>67</v>
      </c>
      <c r="H35" s="8">
        <v>1.69</v>
      </c>
      <c r="I35" s="12">
        <v>0</v>
      </c>
    </row>
    <row r="36" spans="2:9" ht="15" customHeight="1" x14ac:dyDescent="0.2">
      <c r="B36" t="s">
        <v>96</v>
      </c>
      <c r="C36" s="12">
        <v>149</v>
      </c>
      <c r="D36" s="8">
        <v>2.37</v>
      </c>
      <c r="E36" s="12">
        <v>35</v>
      </c>
      <c r="F36" s="8">
        <v>1.52</v>
      </c>
      <c r="G36" s="12">
        <v>113</v>
      </c>
      <c r="H36" s="8">
        <v>2.85</v>
      </c>
      <c r="I36" s="12">
        <v>0</v>
      </c>
    </row>
    <row r="37" spans="2:9" ht="15" customHeight="1" x14ac:dyDescent="0.2">
      <c r="B37" t="s">
        <v>89</v>
      </c>
      <c r="C37" s="12">
        <v>140</v>
      </c>
      <c r="D37" s="8">
        <v>2.2200000000000002</v>
      </c>
      <c r="E37" s="12">
        <v>27</v>
      </c>
      <c r="F37" s="8">
        <v>1.17</v>
      </c>
      <c r="G37" s="12">
        <v>112</v>
      </c>
      <c r="H37" s="8">
        <v>2.82</v>
      </c>
      <c r="I37" s="12">
        <v>1</v>
      </c>
    </row>
    <row r="38" spans="2:9" ht="15" customHeight="1" x14ac:dyDescent="0.2">
      <c r="B38" t="s">
        <v>88</v>
      </c>
      <c r="C38" s="12">
        <v>108</v>
      </c>
      <c r="D38" s="8">
        <v>1.72</v>
      </c>
      <c r="E38" s="12">
        <v>6</v>
      </c>
      <c r="F38" s="8">
        <v>0.26</v>
      </c>
      <c r="G38" s="12">
        <v>102</v>
      </c>
      <c r="H38" s="8">
        <v>2.57</v>
      </c>
      <c r="I38" s="12">
        <v>0</v>
      </c>
    </row>
    <row r="39" spans="2:9" ht="15" customHeight="1" x14ac:dyDescent="0.2">
      <c r="B39" t="s">
        <v>93</v>
      </c>
      <c r="C39" s="12">
        <v>107</v>
      </c>
      <c r="D39" s="8">
        <v>1.7</v>
      </c>
      <c r="E39" s="12">
        <v>8</v>
      </c>
      <c r="F39" s="8">
        <v>0.35</v>
      </c>
      <c r="G39" s="12">
        <v>99</v>
      </c>
      <c r="H39" s="8">
        <v>2.4900000000000002</v>
      </c>
      <c r="I39" s="12">
        <v>0</v>
      </c>
    </row>
    <row r="40" spans="2:9" ht="15" customHeight="1" x14ac:dyDescent="0.2">
      <c r="B40" t="s">
        <v>105</v>
      </c>
      <c r="C40" s="12">
        <v>100</v>
      </c>
      <c r="D40" s="8">
        <v>1.59</v>
      </c>
      <c r="E40" s="12">
        <v>4</v>
      </c>
      <c r="F40" s="8">
        <v>0.17</v>
      </c>
      <c r="G40" s="12">
        <v>95</v>
      </c>
      <c r="H40" s="8">
        <v>2.39</v>
      </c>
      <c r="I40" s="12">
        <v>1</v>
      </c>
    </row>
    <row r="41" spans="2:9" ht="15" customHeight="1" x14ac:dyDescent="0.2">
      <c r="B41" t="s">
        <v>104</v>
      </c>
      <c r="C41" s="12">
        <v>97</v>
      </c>
      <c r="D41" s="8">
        <v>1.54</v>
      </c>
      <c r="E41" s="12">
        <v>9</v>
      </c>
      <c r="F41" s="8">
        <v>0.39</v>
      </c>
      <c r="G41" s="12">
        <v>87</v>
      </c>
      <c r="H41" s="8">
        <v>2.19</v>
      </c>
      <c r="I41" s="12">
        <v>1</v>
      </c>
    </row>
    <row r="42" spans="2:9" ht="15" customHeight="1" x14ac:dyDescent="0.2">
      <c r="B42" t="s">
        <v>99</v>
      </c>
      <c r="C42" s="12">
        <v>96</v>
      </c>
      <c r="D42" s="8">
        <v>1.53</v>
      </c>
      <c r="E42" s="12">
        <v>31</v>
      </c>
      <c r="F42" s="8">
        <v>1.35</v>
      </c>
      <c r="G42" s="12">
        <v>65</v>
      </c>
      <c r="H42" s="8">
        <v>1.64</v>
      </c>
      <c r="I42" s="12">
        <v>0</v>
      </c>
    </row>
    <row r="43" spans="2:9" ht="15" customHeight="1" x14ac:dyDescent="0.2">
      <c r="B43" t="s">
        <v>102</v>
      </c>
      <c r="C43" s="12">
        <v>91</v>
      </c>
      <c r="D43" s="8">
        <v>1.45</v>
      </c>
      <c r="E43" s="12">
        <v>1</v>
      </c>
      <c r="F43" s="8">
        <v>0.04</v>
      </c>
      <c r="G43" s="12">
        <v>86</v>
      </c>
      <c r="H43" s="8">
        <v>2.17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310</v>
      </c>
      <c r="D47" s="8">
        <v>4.93</v>
      </c>
      <c r="E47" s="12">
        <v>235</v>
      </c>
      <c r="F47" s="8">
        <v>10.220000000000001</v>
      </c>
      <c r="G47" s="12">
        <v>75</v>
      </c>
      <c r="H47" s="8">
        <v>1.89</v>
      </c>
      <c r="I47" s="12">
        <v>0</v>
      </c>
    </row>
    <row r="48" spans="2:9" ht="15" customHeight="1" x14ac:dyDescent="0.2">
      <c r="B48" t="s">
        <v>158</v>
      </c>
      <c r="C48" s="12">
        <v>236</v>
      </c>
      <c r="D48" s="8">
        <v>3.75</v>
      </c>
      <c r="E48" s="12">
        <v>81</v>
      </c>
      <c r="F48" s="8">
        <v>3.52</v>
      </c>
      <c r="G48" s="12">
        <v>154</v>
      </c>
      <c r="H48" s="8">
        <v>3.88</v>
      </c>
      <c r="I48" s="12">
        <v>1</v>
      </c>
    </row>
    <row r="49" spans="2:9" ht="15" customHeight="1" x14ac:dyDescent="0.2">
      <c r="B49" t="s">
        <v>166</v>
      </c>
      <c r="C49" s="12">
        <v>212</v>
      </c>
      <c r="D49" s="8">
        <v>3.37</v>
      </c>
      <c r="E49" s="12">
        <v>169</v>
      </c>
      <c r="F49" s="8">
        <v>7.35</v>
      </c>
      <c r="G49" s="12">
        <v>43</v>
      </c>
      <c r="H49" s="8">
        <v>1.08</v>
      </c>
      <c r="I49" s="12">
        <v>0</v>
      </c>
    </row>
    <row r="50" spans="2:9" ht="15" customHeight="1" x14ac:dyDescent="0.2">
      <c r="B50" t="s">
        <v>165</v>
      </c>
      <c r="C50" s="12">
        <v>192</v>
      </c>
      <c r="D50" s="8">
        <v>3.05</v>
      </c>
      <c r="E50" s="12">
        <v>130</v>
      </c>
      <c r="F50" s="8">
        <v>5.65</v>
      </c>
      <c r="G50" s="12">
        <v>62</v>
      </c>
      <c r="H50" s="8">
        <v>1.56</v>
      </c>
      <c r="I50" s="12">
        <v>0</v>
      </c>
    </row>
    <row r="51" spans="2:9" ht="15" customHeight="1" x14ac:dyDescent="0.2">
      <c r="B51" t="s">
        <v>163</v>
      </c>
      <c r="C51" s="12">
        <v>177</v>
      </c>
      <c r="D51" s="8">
        <v>2.81</v>
      </c>
      <c r="E51" s="12">
        <v>160</v>
      </c>
      <c r="F51" s="8">
        <v>6.96</v>
      </c>
      <c r="G51" s="12">
        <v>17</v>
      </c>
      <c r="H51" s="8">
        <v>0.43</v>
      </c>
      <c r="I51" s="12">
        <v>0</v>
      </c>
    </row>
    <row r="52" spans="2:9" ht="15" customHeight="1" x14ac:dyDescent="0.2">
      <c r="B52" t="s">
        <v>161</v>
      </c>
      <c r="C52" s="12">
        <v>167</v>
      </c>
      <c r="D52" s="8">
        <v>2.65</v>
      </c>
      <c r="E52" s="12">
        <v>124</v>
      </c>
      <c r="F52" s="8">
        <v>5.39</v>
      </c>
      <c r="G52" s="12">
        <v>43</v>
      </c>
      <c r="H52" s="8">
        <v>1.08</v>
      </c>
      <c r="I52" s="12">
        <v>0</v>
      </c>
    </row>
    <row r="53" spans="2:9" ht="15" customHeight="1" x14ac:dyDescent="0.2">
      <c r="B53" t="s">
        <v>162</v>
      </c>
      <c r="C53" s="12">
        <v>159</v>
      </c>
      <c r="D53" s="8">
        <v>2.5299999999999998</v>
      </c>
      <c r="E53" s="12">
        <v>134</v>
      </c>
      <c r="F53" s="8">
        <v>5.83</v>
      </c>
      <c r="G53" s="12">
        <v>25</v>
      </c>
      <c r="H53" s="8">
        <v>0.63</v>
      </c>
      <c r="I53" s="12">
        <v>0</v>
      </c>
    </row>
    <row r="54" spans="2:9" ht="15" customHeight="1" x14ac:dyDescent="0.2">
      <c r="B54" t="s">
        <v>159</v>
      </c>
      <c r="C54" s="12">
        <v>153</v>
      </c>
      <c r="D54" s="8">
        <v>2.4300000000000002</v>
      </c>
      <c r="E54" s="12">
        <v>3</v>
      </c>
      <c r="F54" s="8">
        <v>0.13</v>
      </c>
      <c r="G54" s="12">
        <v>148</v>
      </c>
      <c r="H54" s="8">
        <v>3.73</v>
      </c>
      <c r="I54" s="12">
        <v>0</v>
      </c>
    </row>
    <row r="55" spans="2:9" ht="15" customHeight="1" x14ac:dyDescent="0.2">
      <c r="B55" t="s">
        <v>157</v>
      </c>
      <c r="C55" s="12">
        <v>138</v>
      </c>
      <c r="D55" s="8">
        <v>2.19</v>
      </c>
      <c r="E55" s="12">
        <v>11</v>
      </c>
      <c r="F55" s="8">
        <v>0.48</v>
      </c>
      <c r="G55" s="12">
        <v>127</v>
      </c>
      <c r="H55" s="8">
        <v>3.2</v>
      </c>
      <c r="I55" s="12">
        <v>0</v>
      </c>
    </row>
    <row r="56" spans="2:9" ht="15" customHeight="1" x14ac:dyDescent="0.2">
      <c r="B56" t="s">
        <v>156</v>
      </c>
      <c r="C56" s="12">
        <v>104</v>
      </c>
      <c r="D56" s="8">
        <v>1.65</v>
      </c>
      <c r="E56" s="12">
        <v>41</v>
      </c>
      <c r="F56" s="8">
        <v>1.78</v>
      </c>
      <c r="G56" s="12">
        <v>63</v>
      </c>
      <c r="H56" s="8">
        <v>1.59</v>
      </c>
      <c r="I56" s="12">
        <v>0</v>
      </c>
    </row>
    <row r="57" spans="2:9" ht="15" customHeight="1" x14ac:dyDescent="0.2">
      <c r="B57" t="s">
        <v>151</v>
      </c>
      <c r="C57" s="12">
        <v>103</v>
      </c>
      <c r="D57" s="8">
        <v>1.64</v>
      </c>
      <c r="E57" s="12">
        <v>14</v>
      </c>
      <c r="F57" s="8">
        <v>0.61</v>
      </c>
      <c r="G57" s="12">
        <v>89</v>
      </c>
      <c r="H57" s="8">
        <v>2.2400000000000002</v>
      </c>
      <c r="I57" s="12">
        <v>0</v>
      </c>
    </row>
    <row r="58" spans="2:9" ht="15" customHeight="1" x14ac:dyDescent="0.2">
      <c r="B58" t="s">
        <v>155</v>
      </c>
      <c r="C58" s="12">
        <v>100</v>
      </c>
      <c r="D58" s="8">
        <v>1.59</v>
      </c>
      <c r="E58" s="12">
        <v>41</v>
      </c>
      <c r="F58" s="8">
        <v>1.78</v>
      </c>
      <c r="G58" s="12">
        <v>59</v>
      </c>
      <c r="H58" s="8">
        <v>1.49</v>
      </c>
      <c r="I58" s="12">
        <v>0</v>
      </c>
    </row>
    <row r="59" spans="2:9" ht="15" customHeight="1" x14ac:dyDescent="0.2">
      <c r="B59" t="s">
        <v>160</v>
      </c>
      <c r="C59" s="12">
        <v>96</v>
      </c>
      <c r="D59" s="8">
        <v>1.53</v>
      </c>
      <c r="E59" s="12">
        <v>17</v>
      </c>
      <c r="F59" s="8">
        <v>0.74</v>
      </c>
      <c r="G59" s="12">
        <v>78</v>
      </c>
      <c r="H59" s="8">
        <v>1.96</v>
      </c>
      <c r="I59" s="12">
        <v>0</v>
      </c>
    </row>
    <row r="60" spans="2:9" ht="15" customHeight="1" x14ac:dyDescent="0.2">
      <c r="B60" t="s">
        <v>180</v>
      </c>
      <c r="C60" s="12">
        <v>94</v>
      </c>
      <c r="D60" s="8">
        <v>1.49</v>
      </c>
      <c r="E60" s="12">
        <v>51</v>
      </c>
      <c r="F60" s="8">
        <v>2.2200000000000002</v>
      </c>
      <c r="G60" s="12">
        <v>43</v>
      </c>
      <c r="H60" s="8">
        <v>1.08</v>
      </c>
      <c r="I60" s="12">
        <v>0</v>
      </c>
    </row>
    <row r="61" spans="2:9" ht="15" customHeight="1" x14ac:dyDescent="0.2">
      <c r="B61" t="s">
        <v>148</v>
      </c>
      <c r="C61" s="12">
        <v>93</v>
      </c>
      <c r="D61" s="8">
        <v>1.48</v>
      </c>
      <c r="E61" s="12">
        <v>7</v>
      </c>
      <c r="F61" s="8">
        <v>0.3</v>
      </c>
      <c r="G61" s="12">
        <v>86</v>
      </c>
      <c r="H61" s="8">
        <v>2.17</v>
      </c>
      <c r="I61" s="12">
        <v>0</v>
      </c>
    </row>
    <row r="62" spans="2:9" ht="15" customHeight="1" x14ac:dyDescent="0.2">
      <c r="B62" t="s">
        <v>152</v>
      </c>
      <c r="C62" s="12">
        <v>91</v>
      </c>
      <c r="D62" s="8">
        <v>1.45</v>
      </c>
      <c r="E62" s="12">
        <v>17</v>
      </c>
      <c r="F62" s="8">
        <v>0.74</v>
      </c>
      <c r="G62" s="12">
        <v>74</v>
      </c>
      <c r="H62" s="8">
        <v>1.86</v>
      </c>
      <c r="I62" s="12">
        <v>0</v>
      </c>
    </row>
    <row r="63" spans="2:9" ht="15" customHeight="1" x14ac:dyDescent="0.2">
      <c r="B63" t="s">
        <v>153</v>
      </c>
      <c r="C63" s="12">
        <v>90</v>
      </c>
      <c r="D63" s="8">
        <v>1.43</v>
      </c>
      <c r="E63" s="12">
        <v>6</v>
      </c>
      <c r="F63" s="8">
        <v>0.26</v>
      </c>
      <c r="G63" s="12">
        <v>84</v>
      </c>
      <c r="H63" s="8">
        <v>2.12</v>
      </c>
      <c r="I63" s="12">
        <v>0</v>
      </c>
    </row>
    <row r="64" spans="2:9" ht="15" customHeight="1" x14ac:dyDescent="0.2">
      <c r="B64" t="s">
        <v>149</v>
      </c>
      <c r="C64" s="12">
        <v>87</v>
      </c>
      <c r="D64" s="8">
        <v>1.38</v>
      </c>
      <c r="E64" s="12">
        <v>4</v>
      </c>
      <c r="F64" s="8">
        <v>0.17</v>
      </c>
      <c r="G64" s="12">
        <v>83</v>
      </c>
      <c r="H64" s="8">
        <v>2.09</v>
      </c>
      <c r="I64" s="12">
        <v>0</v>
      </c>
    </row>
    <row r="65" spans="2:9" ht="15" customHeight="1" x14ac:dyDescent="0.2">
      <c r="B65" t="s">
        <v>150</v>
      </c>
      <c r="C65" s="12">
        <v>81</v>
      </c>
      <c r="D65" s="8">
        <v>1.29</v>
      </c>
      <c r="E65" s="12">
        <v>19</v>
      </c>
      <c r="F65" s="8">
        <v>0.83</v>
      </c>
      <c r="G65" s="12">
        <v>62</v>
      </c>
      <c r="H65" s="8">
        <v>1.56</v>
      </c>
      <c r="I65" s="12">
        <v>0</v>
      </c>
    </row>
    <row r="66" spans="2:9" ht="15" customHeight="1" x14ac:dyDescent="0.2">
      <c r="B66" t="s">
        <v>167</v>
      </c>
      <c r="C66" s="12">
        <v>81</v>
      </c>
      <c r="D66" s="8">
        <v>1.29</v>
      </c>
      <c r="E66" s="12">
        <v>31</v>
      </c>
      <c r="F66" s="8">
        <v>1.35</v>
      </c>
      <c r="G66" s="12">
        <v>50</v>
      </c>
      <c r="H66" s="8">
        <v>1.26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DFE13-18A0-45F7-A218-3CA4728A60E8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273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109</v>
      </c>
      <c r="D6" s="8">
        <v>15.73</v>
      </c>
      <c r="E6" s="12">
        <v>66</v>
      </c>
      <c r="F6" s="8">
        <v>13.81</v>
      </c>
      <c r="G6" s="12">
        <v>43</v>
      </c>
      <c r="H6" s="8">
        <v>20.48</v>
      </c>
      <c r="I6" s="12">
        <v>0</v>
      </c>
    </row>
    <row r="7" spans="2:9" ht="15" customHeight="1" x14ac:dyDescent="0.2">
      <c r="B7" t="s">
        <v>63</v>
      </c>
      <c r="C7" s="12">
        <v>34</v>
      </c>
      <c r="D7" s="8">
        <v>4.91</v>
      </c>
      <c r="E7" s="12">
        <v>18</v>
      </c>
      <c r="F7" s="8">
        <v>3.77</v>
      </c>
      <c r="G7" s="12">
        <v>16</v>
      </c>
      <c r="H7" s="8">
        <v>7.62</v>
      </c>
      <c r="I7" s="12">
        <v>0</v>
      </c>
    </row>
    <row r="8" spans="2:9" ht="15" customHeight="1" x14ac:dyDescent="0.2">
      <c r="B8" t="s">
        <v>64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65</v>
      </c>
      <c r="C9" s="12">
        <v>2</v>
      </c>
      <c r="D9" s="8">
        <v>0.28999999999999998</v>
      </c>
      <c r="E9" s="12">
        <v>0</v>
      </c>
      <c r="F9" s="8">
        <v>0</v>
      </c>
      <c r="G9" s="12">
        <v>2</v>
      </c>
      <c r="H9" s="8">
        <v>0.95</v>
      </c>
      <c r="I9" s="12">
        <v>0</v>
      </c>
    </row>
    <row r="10" spans="2:9" ht="15" customHeight="1" x14ac:dyDescent="0.2">
      <c r="B10" t="s">
        <v>66</v>
      </c>
      <c r="C10" s="12">
        <v>9</v>
      </c>
      <c r="D10" s="8">
        <v>1.3</v>
      </c>
      <c r="E10" s="12">
        <v>3</v>
      </c>
      <c r="F10" s="8">
        <v>0.63</v>
      </c>
      <c r="G10" s="12">
        <v>5</v>
      </c>
      <c r="H10" s="8">
        <v>2.38</v>
      </c>
      <c r="I10" s="12">
        <v>1</v>
      </c>
    </row>
    <row r="11" spans="2:9" ht="15" customHeight="1" x14ac:dyDescent="0.2">
      <c r="B11" t="s">
        <v>67</v>
      </c>
      <c r="C11" s="12">
        <v>174</v>
      </c>
      <c r="D11" s="8">
        <v>25.11</v>
      </c>
      <c r="E11" s="12">
        <v>102</v>
      </c>
      <c r="F11" s="8">
        <v>21.34</v>
      </c>
      <c r="G11" s="12">
        <v>72</v>
      </c>
      <c r="H11" s="8">
        <v>34.29</v>
      </c>
      <c r="I11" s="12">
        <v>0</v>
      </c>
    </row>
    <row r="12" spans="2:9" ht="15" customHeight="1" x14ac:dyDescent="0.2">
      <c r="B12" t="s">
        <v>68</v>
      </c>
      <c r="C12" s="12">
        <v>5</v>
      </c>
      <c r="D12" s="8">
        <v>0.72</v>
      </c>
      <c r="E12" s="12">
        <v>1</v>
      </c>
      <c r="F12" s="8">
        <v>0.21</v>
      </c>
      <c r="G12" s="12">
        <v>4</v>
      </c>
      <c r="H12" s="8">
        <v>1.9</v>
      </c>
      <c r="I12" s="12">
        <v>0</v>
      </c>
    </row>
    <row r="13" spans="2:9" ht="15" customHeight="1" x14ac:dyDescent="0.2">
      <c r="B13" t="s">
        <v>69</v>
      </c>
      <c r="C13" s="12">
        <v>75</v>
      </c>
      <c r="D13" s="8">
        <v>10.82</v>
      </c>
      <c r="E13" s="12">
        <v>64</v>
      </c>
      <c r="F13" s="8">
        <v>13.39</v>
      </c>
      <c r="G13" s="12">
        <v>11</v>
      </c>
      <c r="H13" s="8">
        <v>5.24</v>
      </c>
      <c r="I13" s="12">
        <v>0</v>
      </c>
    </row>
    <row r="14" spans="2:9" ht="15" customHeight="1" x14ac:dyDescent="0.2">
      <c r="B14" t="s">
        <v>70</v>
      </c>
      <c r="C14" s="12">
        <v>13</v>
      </c>
      <c r="D14" s="8">
        <v>1.88</v>
      </c>
      <c r="E14" s="12">
        <v>6</v>
      </c>
      <c r="F14" s="8">
        <v>1.26</v>
      </c>
      <c r="G14" s="12">
        <v>7</v>
      </c>
      <c r="H14" s="8">
        <v>3.33</v>
      </c>
      <c r="I14" s="12">
        <v>0</v>
      </c>
    </row>
    <row r="15" spans="2:9" ht="15" customHeight="1" x14ac:dyDescent="0.2">
      <c r="B15" t="s">
        <v>71</v>
      </c>
      <c r="C15" s="12">
        <v>139</v>
      </c>
      <c r="D15" s="8">
        <v>20.059999999999999</v>
      </c>
      <c r="E15" s="12">
        <v>116</v>
      </c>
      <c r="F15" s="8">
        <v>24.27</v>
      </c>
      <c r="G15" s="12">
        <v>22</v>
      </c>
      <c r="H15" s="8">
        <v>10.48</v>
      </c>
      <c r="I15" s="12">
        <v>0</v>
      </c>
    </row>
    <row r="16" spans="2:9" ht="15" customHeight="1" x14ac:dyDescent="0.2">
      <c r="B16" t="s">
        <v>72</v>
      </c>
      <c r="C16" s="12">
        <v>87</v>
      </c>
      <c r="D16" s="8">
        <v>12.55</v>
      </c>
      <c r="E16" s="12">
        <v>75</v>
      </c>
      <c r="F16" s="8">
        <v>15.69</v>
      </c>
      <c r="G16" s="12">
        <v>12</v>
      </c>
      <c r="H16" s="8">
        <v>5.71</v>
      </c>
      <c r="I16" s="12">
        <v>0</v>
      </c>
    </row>
    <row r="17" spans="2:9" ht="15" customHeight="1" x14ac:dyDescent="0.2">
      <c r="B17" t="s">
        <v>73</v>
      </c>
      <c r="C17" s="12">
        <v>16</v>
      </c>
      <c r="D17" s="8">
        <v>2.31</v>
      </c>
      <c r="E17" s="12">
        <v>12</v>
      </c>
      <c r="F17" s="8">
        <v>2.5099999999999998</v>
      </c>
      <c r="G17" s="12">
        <v>2</v>
      </c>
      <c r="H17" s="8">
        <v>0.95</v>
      </c>
      <c r="I17" s="12">
        <v>0</v>
      </c>
    </row>
    <row r="18" spans="2:9" ht="15" customHeight="1" x14ac:dyDescent="0.2">
      <c r="B18" t="s">
        <v>74</v>
      </c>
      <c r="C18" s="12">
        <v>14</v>
      </c>
      <c r="D18" s="8">
        <v>2.02</v>
      </c>
      <c r="E18" s="12">
        <v>8</v>
      </c>
      <c r="F18" s="8">
        <v>1.67</v>
      </c>
      <c r="G18" s="12">
        <v>5</v>
      </c>
      <c r="H18" s="8">
        <v>2.38</v>
      </c>
      <c r="I18" s="12">
        <v>0</v>
      </c>
    </row>
    <row r="19" spans="2:9" ht="15" customHeight="1" x14ac:dyDescent="0.2">
      <c r="B19" t="s">
        <v>75</v>
      </c>
      <c r="C19" s="12">
        <v>16</v>
      </c>
      <c r="D19" s="8">
        <v>2.31</v>
      </c>
      <c r="E19" s="12">
        <v>7</v>
      </c>
      <c r="F19" s="8">
        <v>1.46</v>
      </c>
      <c r="G19" s="12">
        <v>9</v>
      </c>
      <c r="H19" s="8">
        <v>4.29</v>
      </c>
      <c r="I19" s="12">
        <v>0</v>
      </c>
    </row>
    <row r="20" spans="2:9" ht="15" customHeight="1" x14ac:dyDescent="0.2">
      <c r="B20" s="9" t="s">
        <v>248</v>
      </c>
      <c r="C20" s="12">
        <f>SUM(LTBL_12218[総数／事業所数])</f>
        <v>693</v>
      </c>
      <c r="E20" s="12">
        <f>SUBTOTAL(109,LTBL_12218[個人／事業所数])</f>
        <v>478</v>
      </c>
      <c r="G20" s="12">
        <f>SUBTOTAL(109,LTBL_12218[法人／事業所数])</f>
        <v>210</v>
      </c>
      <c r="I20" s="12">
        <f>SUBTOTAL(109,LTBL_12218[法人以外の団体／事業所数])</f>
        <v>1</v>
      </c>
    </row>
    <row r="21" spans="2:9" ht="15" customHeight="1" x14ac:dyDescent="0.2">
      <c r="E21" s="11">
        <f>LTBL_12218[[#Totals],[個人／事業所数]]/LTBL_12218[[#Totals],[総数／事業所数]]</f>
        <v>0.68975468975468979</v>
      </c>
      <c r="G21" s="11">
        <f>LTBL_12218[[#Totals],[法人／事業所数]]/LTBL_12218[[#Totals],[総数／事業所数]]</f>
        <v>0.30303030303030304</v>
      </c>
      <c r="I21" s="11">
        <f>LTBL_12218[[#Totals],[法人以外の団体／事業所数]]/LTBL_12218[[#Totals],[総数／事業所数]]</f>
        <v>1.443001443001443E-3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97</v>
      </c>
      <c r="C24" s="12">
        <v>92</v>
      </c>
      <c r="D24" s="8">
        <v>13.28</v>
      </c>
      <c r="E24" s="12">
        <v>81</v>
      </c>
      <c r="F24" s="8">
        <v>16.95</v>
      </c>
      <c r="G24" s="12">
        <v>11</v>
      </c>
      <c r="H24" s="8">
        <v>5.24</v>
      </c>
      <c r="I24" s="12">
        <v>0</v>
      </c>
    </row>
    <row r="25" spans="2:9" ht="15" customHeight="1" x14ac:dyDescent="0.2">
      <c r="B25" t="s">
        <v>98</v>
      </c>
      <c r="C25" s="12">
        <v>70</v>
      </c>
      <c r="D25" s="8">
        <v>10.1</v>
      </c>
      <c r="E25" s="12">
        <v>64</v>
      </c>
      <c r="F25" s="8">
        <v>13.39</v>
      </c>
      <c r="G25" s="12">
        <v>6</v>
      </c>
      <c r="H25" s="8">
        <v>2.86</v>
      </c>
      <c r="I25" s="12">
        <v>0</v>
      </c>
    </row>
    <row r="26" spans="2:9" ht="15" customHeight="1" x14ac:dyDescent="0.2">
      <c r="B26" t="s">
        <v>90</v>
      </c>
      <c r="C26" s="12">
        <v>67</v>
      </c>
      <c r="D26" s="8">
        <v>9.67</v>
      </c>
      <c r="E26" s="12">
        <v>51</v>
      </c>
      <c r="F26" s="8">
        <v>10.67</v>
      </c>
      <c r="G26" s="12">
        <v>16</v>
      </c>
      <c r="H26" s="8">
        <v>7.62</v>
      </c>
      <c r="I26" s="12">
        <v>0</v>
      </c>
    </row>
    <row r="27" spans="2:9" ht="15" customHeight="1" x14ac:dyDescent="0.2">
      <c r="B27" t="s">
        <v>94</v>
      </c>
      <c r="C27" s="12">
        <v>67</v>
      </c>
      <c r="D27" s="8">
        <v>9.67</v>
      </c>
      <c r="E27" s="12">
        <v>62</v>
      </c>
      <c r="F27" s="8">
        <v>12.97</v>
      </c>
      <c r="G27" s="12">
        <v>5</v>
      </c>
      <c r="H27" s="8">
        <v>2.38</v>
      </c>
      <c r="I27" s="12">
        <v>0</v>
      </c>
    </row>
    <row r="28" spans="2:9" ht="15" customHeight="1" x14ac:dyDescent="0.2">
      <c r="B28" t="s">
        <v>84</v>
      </c>
      <c r="C28" s="12">
        <v>62</v>
      </c>
      <c r="D28" s="8">
        <v>8.9499999999999993</v>
      </c>
      <c r="E28" s="12">
        <v>32</v>
      </c>
      <c r="F28" s="8">
        <v>6.69</v>
      </c>
      <c r="G28" s="12">
        <v>30</v>
      </c>
      <c r="H28" s="8">
        <v>14.29</v>
      </c>
      <c r="I28" s="12">
        <v>0</v>
      </c>
    </row>
    <row r="29" spans="2:9" ht="15" customHeight="1" x14ac:dyDescent="0.2">
      <c r="B29" t="s">
        <v>92</v>
      </c>
      <c r="C29" s="12">
        <v>56</v>
      </c>
      <c r="D29" s="8">
        <v>8.08</v>
      </c>
      <c r="E29" s="12">
        <v>28</v>
      </c>
      <c r="F29" s="8">
        <v>5.86</v>
      </c>
      <c r="G29" s="12">
        <v>28</v>
      </c>
      <c r="H29" s="8">
        <v>13.33</v>
      </c>
      <c r="I29" s="12">
        <v>0</v>
      </c>
    </row>
    <row r="30" spans="2:9" ht="15" customHeight="1" x14ac:dyDescent="0.2">
      <c r="B30" t="s">
        <v>111</v>
      </c>
      <c r="C30" s="12">
        <v>40</v>
      </c>
      <c r="D30" s="8">
        <v>5.77</v>
      </c>
      <c r="E30" s="12">
        <v>32</v>
      </c>
      <c r="F30" s="8">
        <v>6.69</v>
      </c>
      <c r="G30" s="12">
        <v>8</v>
      </c>
      <c r="H30" s="8">
        <v>3.81</v>
      </c>
      <c r="I30" s="12">
        <v>0</v>
      </c>
    </row>
    <row r="31" spans="2:9" ht="15" customHeight="1" x14ac:dyDescent="0.2">
      <c r="B31" t="s">
        <v>85</v>
      </c>
      <c r="C31" s="12">
        <v>28</v>
      </c>
      <c r="D31" s="8">
        <v>4.04</v>
      </c>
      <c r="E31" s="12">
        <v>24</v>
      </c>
      <c r="F31" s="8">
        <v>5.0199999999999996</v>
      </c>
      <c r="G31" s="12">
        <v>4</v>
      </c>
      <c r="H31" s="8">
        <v>1.9</v>
      </c>
      <c r="I31" s="12">
        <v>0</v>
      </c>
    </row>
    <row r="32" spans="2:9" ht="15" customHeight="1" x14ac:dyDescent="0.2">
      <c r="B32" t="s">
        <v>86</v>
      </c>
      <c r="C32" s="12">
        <v>19</v>
      </c>
      <c r="D32" s="8">
        <v>2.74</v>
      </c>
      <c r="E32" s="12">
        <v>10</v>
      </c>
      <c r="F32" s="8">
        <v>2.09</v>
      </c>
      <c r="G32" s="12">
        <v>9</v>
      </c>
      <c r="H32" s="8">
        <v>4.29</v>
      </c>
      <c r="I32" s="12">
        <v>0</v>
      </c>
    </row>
    <row r="33" spans="2:9" ht="15" customHeight="1" x14ac:dyDescent="0.2">
      <c r="B33" t="s">
        <v>100</v>
      </c>
      <c r="C33" s="12">
        <v>16</v>
      </c>
      <c r="D33" s="8">
        <v>2.31</v>
      </c>
      <c r="E33" s="12">
        <v>12</v>
      </c>
      <c r="F33" s="8">
        <v>2.5099999999999998</v>
      </c>
      <c r="G33" s="12">
        <v>2</v>
      </c>
      <c r="H33" s="8">
        <v>0.95</v>
      </c>
      <c r="I33" s="12">
        <v>0</v>
      </c>
    </row>
    <row r="34" spans="2:9" ht="15" customHeight="1" x14ac:dyDescent="0.2">
      <c r="B34" t="s">
        <v>109</v>
      </c>
      <c r="C34" s="12">
        <v>14</v>
      </c>
      <c r="D34" s="8">
        <v>2.02</v>
      </c>
      <c r="E34" s="12">
        <v>5</v>
      </c>
      <c r="F34" s="8">
        <v>1.05</v>
      </c>
      <c r="G34" s="12">
        <v>9</v>
      </c>
      <c r="H34" s="8">
        <v>4.29</v>
      </c>
      <c r="I34" s="12">
        <v>0</v>
      </c>
    </row>
    <row r="35" spans="2:9" ht="15" customHeight="1" x14ac:dyDescent="0.2">
      <c r="B35" t="s">
        <v>91</v>
      </c>
      <c r="C35" s="12">
        <v>12</v>
      </c>
      <c r="D35" s="8">
        <v>1.73</v>
      </c>
      <c r="E35" s="12">
        <v>8</v>
      </c>
      <c r="F35" s="8">
        <v>1.67</v>
      </c>
      <c r="G35" s="12">
        <v>4</v>
      </c>
      <c r="H35" s="8">
        <v>1.9</v>
      </c>
      <c r="I35" s="12">
        <v>0</v>
      </c>
    </row>
    <row r="36" spans="2:9" ht="15" customHeight="1" x14ac:dyDescent="0.2">
      <c r="B36" t="s">
        <v>112</v>
      </c>
      <c r="C36" s="12">
        <v>10</v>
      </c>
      <c r="D36" s="8">
        <v>1.44</v>
      </c>
      <c r="E36" s="12">
        <v>8</v>
      </c>
      <c r="F36" s="8">
        <v>1.67</v>
      </c>
      <c r="G36" s="12">
        <v>2</v>
      </c>
      <c r="H36" s="8">
        <v>0.95</v>
      </c>
      <c r="I36" s="12">
        <v>0</v>
      </c>
    </row>
    <row r="37" spans="2:9" ht="15" customHeight="1" x14ac:dyDescent="0.2">
      <c r="B37" t="s">
        <v>89</v>
      </c>
      <c r="C37" s="12">
        <v>9</v>
      </c>
      <c r="D37" s="8">
        <v>1.3</v>
      </c>
      <c r="E37" s="12">
        <v>6</v>
      </c>
      <c r="F37" s="8">
        <v>1.26</v>
      </c>
      <c r="G37" s="12">
        <v>3</v>
      </c>
      <c r="H37" s="8">
        <v>1.43</v>
      </c>
      <c r="I37" s="12">
        <v>0</v>
      </c>
    </row>
    <row r="38" spans="2:9" ht="15" customHeight="1" x14ac:dyDescent="0.2">
      <c r="B38" t="s">
        <v>101</v>
      </c>
      <c r="C38" s="12">
        <v>9</v>
      </c>
      <c r="D38" s="8">
        <v>1.3</v>
      </c>
      <c r="E38" s="12">
        <v>8</v>
      </c>
      <c r="F38" s="8">
        <v>1.67</v>
      </c>
      <c r="G38" s="12">
        <v>1</v>
      </c>
      <c r="H38" s="8">
        <v>0.48</v>
      </c>
      <c r="I38" s="12">
        <v>0</v>
      </c>
    </row>
    <row r="39" spans="2:9" ht="15" customHeight="1" x14ac:dyDescent="0.2">
      <c r="B39" t="s">
        <v>103</v>
      </c>
      <c r="C39" s="12">
        <v>8</v>
      </c>
      <c r="D39" s="8">
        <v>1.1499999999999999</v>
      </c>
      <c r="E39" s="12">
        <v>5</v>
      </c>
      <c r="F39" s="8">
        <v>1.05</v>
      </c>
      <c r="G39" s="12">
        <v>3</v>
      </c>
      <c r="H39" s="8">
        <v>1.43</v>
      </c>
      <c r="I39" s="12">
        <v>0</v>
      </c>
    </row>
    <row r="40" spans="2:9" ht="15" customHeight="1" x14ac:dyDescent="0.2">
      <c r="B40" t="s">
        <v>96</v>
      </c>
      <c r="C40" s="12">
        <v>7</v>
      </c>
      <c r="D40" s="8">
        <v>1.01</v>
      </c>
      <c r="E40" s="12">
        <v>3</v>
      </c>
      <c r="F40" s="8">
        <v>0.63</v>
      </c>
      <c r="G40" s="12">
        <v>4</v>
      </c>
      <c r="H40" s="8">
        <v>1.9</v>
      </c>
      <c r="I40" s="12">
        <v>0</v>
      </c>
    </row>
    <row r="41" spans="2:9" ht="15" customHeight="1" x14ac:dyDescent="0.2">
      <c r="B41" t="s">
        <v>107</v>
      </c>
      <c r="C41" s="12">
        <v>7</v>
      </c>
      <c r="D41" s="8">
        <v>1.01</v>
      </c>
      <c r="E41" s="12">
        <v>3</v>
      </c>
      <c r="F41" s="8">
        <v>0.63</v>
      </c>
      <c r="G41" s="12">
        <v>3</v>
      </c>
      <c r="H41" s="8">
        <v>1.43</v>
      </c>
      <c r="I41" s="12">
        <v>0</v>
      </c>
    </row>
    <row r="42" spans="2:9" ht="15" customHeight="1" x14ac:dyDescent="0.2">
      <c r="B42" t="s">
        <v>99</v>
      </c>
      <c r="C42" s="12">
        <v>7</v>
      </c>
      <c r="D42" s="8">
        <v>1.01</v>
      </c>
      <c r="E42" s="12">
        <v>3</v>
      </c>
      <c r="F42" s="8">
        <v>0.63</v>
      </c>
      <c r="G42" s="12">
        <v>4</v>
      </c>
      <c r="H42" s="8">
        <v>1.9</v>
      </c>
      <c r="I42" s="12">
        <v>0</v>
      </c>
    </row>
    <row r="43" spans="2:9" ht="15" customHeight="1" x14ac:dyDescent="0.2">
      <c r="B43" t="s">
        <v>110</v>
      </c>
      <c r="C43" s="12">
        <v>6</v>
      </c>
      <c r="D43" s="8">
        <v>0.87</v>
      </c>
      <c r="E43" s="12">
        <v>1</v>
      </c>
      <c r="F43" s="8">
        <v>0.21</v>
      </c>
      <c r="G43" s="12">
        <v>5</v>
      </c>
      <c r="H43" s="8">
        <v>2.38</v>
      </c>
      <c r="I43" s="12">
        <v>0</v>
      </c>
    </row>
    <row r="44" spans="2:9" ht="15" customHeight="1" x14ac:dyDescent="0.2">
      <c r="B44" t="s">
        <v>116</v>
      </c>
      <c r="C44" s="12">
        <v>6</v>
      </c>
      <c r="D44" s="8">
        <v>0.87</v>
      </c>
      <c r="E44" s="12">
        <v>6</v>
      </c>
      <c r="F44" s="8">
        <v>1.26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104</v>
      </c>
      <c r="C45" s="12">
        <v>6</v>
      </c>
      <c r="D45" s="8">
        <v>0.87</v>
      </c>
      <c r="E45" s="12">
        <v>1</v>
      </c>
      <c r="F45" s="8">
        <v>0.21</v>
      </c>
      <c r="G45" s="12">
        <v>5</v>
      </c>
      <c r="H45" s="8">
        <v>2.38</v>
      </c>
      <c r="I45" s="12">
        <v>0</v>
      </c>
    </row>
    <row r="48" spans="2:9" ht="33" customHeight="1" x14ac:dyDescent="0.2">
      <c r="B48" t="s">
        <v>250</v>
      </c>
      <c r="C48" s="10" t="s">
        <v>77</v>
      </c>
      <c r="D48" s="10" t="s">
        <v>78</v>
      </c>
      <c r="E48" s="10" t="s">
        <v>79</v>
      </c>
      <c r="F48" s="10" t="s">
        <v>80</v>
      </c>
      <c r="G48" s="10" t="s">
        <v>81</v>
      </c>
      <c r="H48" s="10" t="s">
        <v>82</v>
      </c>
      <c r="I48" s="10" t="s">
        <v>83</v>
      </c>
    </row>
    <row r="49" spans="2:9" ht="15" customHeight="1" x14ac:dyDescent="0.2">
      <c r="B49" t="s">
        <v>158</v>
      </c>
      <c r="C49" s="12">
        <v>50</v>
      </c>
      <c r="D49" s="8">
        <v>7.22</v>
      </c>
      <c r="E49" s="12">
        <v>48</v>
      </c>
      <c r="F49" s="8">
        <v>10.039999999999999</v>
      </c>
      <c r="G49" s="12">
        <v>2</v>
      </c>
      <c r="H49" s="8">
        <v>0.95</v>
      </c>
      <c r="I49" s="12">
        <v>0</v>
      </c>
    </row>
    <row r="50" spans="2:9" ht="15" customHeight="1" x14ac:dyDescent="0.2">
      <c r="B50" t="s">
        <v>164</v>
      </c>
      <c r="C50" s="12">
        <v>34</v>
      </c>
      <c r="D50" s="8">
        <v>4.91</v>
      </c>
      <c r="E50" s="12">
        <v>32</v>
      </c>
      <c r="F50" s="8">
        <v>6.69</v>
      </c>
      <c r="G50" s="12">
        <v>2</v>
      </c>
      <c r="H50" s="8">
        <v>0.95</v>
      </c>
      <c r="I50" s="12">
        <v>0</v>
      </c>
    </row>
    <row r="51" spans="2:9" ht="15" customHeight="1" x14ac:dyDescent="0.2">
      <c r="B51" t="s">
        <v>161</v>
      </c>
      <c r="C51" s="12">
        <v>33</v>
      </c>
      <c r="D51" s="8">
        <v>4.76</v>
      </c>
      <c r="E51" s="12">
        <v>28</v>
      </c>
      <c r="F51" s="8">
        <v>5.86</v>
      </c>
      <c r="G51" s="12">
        <v>5</v>
      </c>
      <c r="H51" s="8">
        <v>2.38</v>
      </c>
      <c r="I51" s="12">
        <v>0</v>
      </c>
    </row>
    <row r="52" spans="2:9" ht="15" customHeight="1" x14ac:dyDescent="0.2">
      <c r="B52" t="s">
        <v>150</v>
      </c>
      <c r="C52" s="12">
        <v>30</v>
      </c>
      <c r="D52" s="8">
        <v>4.33</v>
      </c>
      <c r="E52" s="12">
        <v>27</v>
      </c>
      <c r="F52" s="8">
        <v>5.65</v>
      </c>
      <c r="G52" s="12">
        <v>3</v>
      </c>
      <c r="H52" s="8">
        <v>1.43</v>
      </c>
      <c r="I52" s="12">
        <v>0</v>
      </c>
    </row>
    <row r="53" spans="2:9" ht="15" customHeight="1" x14ac:dyDescent="0.2">
      <c r="B53" t="s">
        <v>194</v>
      </c>
      <c r="C53" s="12">
        <v>30</v>
      </c>
      <c r="D53" s="8">
        <v>4.33</v>
      </c>
      <c r="E53" s="12">
        <v>27</v>
      </c>
      <c r="F53" s="8">
        <v>5.65</v>
      </c>
      <c r="G53" s="12">
        <v>3</v>
      </c>
      <c r="H53" s="8">
        <v>1.43</v>
      </c>
      <c r="I53" s="12">
        <v>0</v>
      </c>
    </row>
    <row r="54" spans="2:9" ht="15" customHeight="1" x14ac:dyDescent="0.2">
      <c r="B54" t="s">
        <v>154</v>
      </c>
      <c r="C54" s="12">
        <v>28</v>
      </c>
      <c r="D54" s="8">
        <v>4.04</v>
      </c>
      <c r="E54" s="12">
        <v>23</v>
      </c>
      <c r="F54" s="8">
        <v>4.8099999999999996</v>
      </c>
      <c r="G54" s="12">
        <v>5</v>
      </c>
      <c r="H54" s="8">
        <v>2.38</v>
      </c>
      <c r="I54" s="12">
        <v>0</v>
      </c>
    </row>
    <row r="55" spans="2:9" ht="15" customHeight="1" x14ac:dyDescent="0.2">
      <c r="B55" t="s">
        <v>163</v>
      </c>
      <c r="C55" s="12">
        <v>24</v>
      </c>
      <c r="D55" s="8">
        <v>3.46</v>
      </c>
      <c r="E55" s="12">
        <v>23</v>
      </c>
      <c r="F55" s="8">
        <v>4.8099999999999996</v>
      </c>
      <c r="G55" s="12">
        <v>1</v>
      </c>
      <c r="H55" s="8">
        <v>0.48</v>
      </c>
      <c r="I55" s="12">
        <v>0</v>
      </c>
    </row>
    <row r="56" spans="2:9" ht="15" customHeight="1" x14ac:dyDescent="0.2">
      <c r="B56" t="s">
        <v>192</v>
      </c>
      <c r="C56" s="12">
        <v>17</v>
      </c>
      <c r="D56" s="8">
        <v>2.4500000000000002</v>
      </c>
      <c r="E56" s="12">
        <v>14</v>
      </c>
      <c r="F56" s="8">
        <v>2.93</v>
      </c>
      <c r="G56" s="12">
        <v>3</v>
      </c>
      <c r="H56" s="8">
        <v>1.43</v>
      </c>
      <c r="I56" s="12">
        <v>0</v>
      </c>
    </row>
    <row r="57" spans="2:9" ht="15" customHeight="1" x14ac:dyDescent="0.2">
      <c r="B57" t="s">
        <v>156</v>
      </c>
      <c r="C57" s="12">
        <v>16</v>
      </c>
      <c r="D57" s="8">
        <v>2.31</v>
      </c>
      <c r="E57" s="12">
        <v>9</v>
      </c>
      <c r="F57" s="8">
        <v>1.88</v>
      </c>
      <c r="G57" s="12">
        <v>7</v>
      </c>
      <c r="H57" s="8">
        <v>3.33</v>
      </c>
      <c r="I57" s="12">
        <v>0</v>
      </c>
    </row>
    <row r="58" spans="2:9" ht="15" customHeight="1" x14ac:dyDescent="0.2">
      <c r="B58" t="s">
        <v>162</v>
      </c>
      <c r="C58" s="12">
        <v>16</v>
      </c>
      <c r="D58" s="8">
        <v>2.31</v>
      </c>
      <c r="E58" s="12">
        <v>16</v>
      </c>
      <c r="F58" s="8">
        <v>3.35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148</v>
      </c>
      <c r="C59" s="12">
        <v>14</v>
      </c>
      <c r="D59" s="8">
        <v>2.02</v>
      </c>
      <c r="E59" s="12">
        <v>3</v>
      </c>
      <c r="F59" s="8">
        <v>0.63</v>
      </c>
      <c r="G59" s="12">
        <v>11</v>
      </c>
      <c r="H59" s="8">
        <v>5.24</v>
      </c>
      <c r="I59" s="12">
        <v>0</v>
      </c>
    </row>
    <row r="60" spans="2:9" ht="15" customHeight="1" x14ac:dyDescent="0.2">
      <c r="B60" t="s">
        <v>190</v>
      </c>
      <c r="C60" s="12">
        <v>12</v>
      </c>
      <c r="D60" s="8">
        <v>1.73</v>
      </c>
      <c r="E60" s="12">
        <v>9</v>
      </c>
      <c r="F60" s="8">
        <v>1.88</v>
      </c>
      <c r="G60" s="12">
        <v>3</v>
      </c>
      <c r="H60" s="8">
        <v>1.43</v>
      </c>
      <c r="I60" s="12">
        <v>0</v>
      </c>
    </row>
    <row r="61" spans="2:9" ht="15" customHeight="1" x14ac:dyDescent="0.2">
      <c r="B61" t="s">
        <v>153</v>
      </c>
      <c r="C61" s="12">
        <v>11</v>
      </c>
      <c r="D61" s="8">
        <v>1.59</v>
      </c>
      <c r="E61" s="12">
        <v>5</v>
      </c>
      <c r="F61" s="8">
        <v>1.05</v>
      </c>
      <c r="G61" s="12">
        <v>6</v>
      </c>
      <c r="H61" s="8">
        <v>2.86</v>
      </c>
      <c r="I61" s="12">
        <v>0</v>
      </c>
    </row>
    <row r="62" spans="2:9" ht="15" customHeight="1" x14ac:dyDescent="0.2">
      <c r="B62" t="s">
        <v>191</v>
      </c>
      <c r="C62" s="12">
        <v>11</v>
      </c>
      <c r="D62" s="8">
        <v>1.59</v>
      </c>
      <c r="E62" s="12">
        <v>3</v>
      </c>
      <c r="F62" s="8">
        <v>0.63</v>
      </c>
      <c r="G62" s="12">
        <v>8</v>
      </c>
      <c r="H62" s="8">
        <v>3.81</v>
      </c>
      <c r="I62" s="12">
        <v>0</v>
      </c>
    </row>
    <row r="63" spans="2:9" ht="15" customHeight="1" x14ac:dyDescent="0.2">
      <c r="B63" t="s">
        <v>199</v>
      </c>
      <c r="C63" s="12">
        <v>11</v>
      </c>
      <c r="D63" s="8">
        <v>1.59</v>
      </c>
      <c r="E63" s="12">
        <v>11</v>
      </c>
      <c r="F63" s="8">
        <v>2.2999999999999998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151</v>
      </c>
      <c r="C64" s="12">
        <v>10</v>
      </c>
      <c r="D64" s="8">
        <v>1.44</v>
      </c>
      <c r="E64" s="12">
        <v>2</v>
      </c>
      <c r="F64" s="8">
        <v>0.42</v>
      </c>
      <c r="G64" s="12">
        <v>8</v>
      </c>
      <c r="H64" s="8">
        <v>3.81</v>
      </c>
      <c r="I64" s="12">
        <v>0</v>
      </c>
    </row>
    <row r="65" spans="2:9" ht="15" customHeight="1" x14ac:dyDescent="0.2">
      <c r="B65" t="s">
        <v>183</v>
      </c>
      <c r="C65" s="12">
        <v>10</v>
      </c>
      <c r="D65" s="8">
        <v>1.44</v>
      </c>
      <c r="E65" s="12">
        <v>3</v>
      </c>
      <c r="F65" s="8">
        <v>0.63</v>
      </c>
      <c r="G65" s="12">
        <v>7</v>
      </c>
      <c r="H65" s="8">
        <v>3.33</v>
      </c>
      <c r="I65" s="12">
        <v>0</v>
      </c>
    </row>
    <row r="66" spans="2:9" ht="15" customHeight="1" x14ac:dyDescent="0.2">
      <c r="B66" t="s">
        <v>195</v>
      </c>
      <c r="C66" s="12">
        <v>10</v>
      </c>
      <c r="D66" s="8">
        <v>1.44</v>
      </c>
      <c r="E66" s="12">
        <v>9</v>
      </c>
      <c r="F66" s="8">
        <v>1.88</v>
      </c>
      <c r="G66" s="12">
        <v>1</v>
      </c>
      <c r="H66" s="8">
        <v>0.48</v>
      </c>
      <c r="I66" s="12">
        <v>0</v>
      </c>
    </row>
    <row r="67" spans="2:9" ht="15" customHeight="1" x14ac:dyDescent="0.2">
      <c r="B67" t="s">
        <v>189</v>
      </c>
      <c r="C67" s="12">
        <v>9</v>
      </c>
      <c r="D67" s="8">
        <v>1.3</v>
      </c>
      <c r="E67" s="12">
        <v>6</v>
      </c>
      <c r="F67" s="8">
        <v>1.26</v>
      </c>
      <c r="G67" s="12">
        <v>3</v>
      </c>
      <c r="H67" s="8">
        <v>1.43</v>
      </c>
      <c r="I67" s="12">
        <v>0</v>
      </c>
    </row>
    <row r="68" spans="2:9" ht="15" customHeight="1" x14ac:dyDescent="0.2">
      <c r="B68" t="s">
        <v>198</v>
      </c>
      <c r="C68" s="12">
        <v>9</v>
      </c>
      <c r="D68" s="8">
        <v>1.3</v>
      </c>
      <c r="E68" s="12">
        <v>5</v>
      </c>
      <c r="F68" s="8">
        <v>1.05</v>
      </c>
      <c r="G68" s="12">
        <v>4</v>
      </c>
      <c r="H68" s="8">
        <v>1.9</v>
      </c>
      <c r="I68" s="12">
        <v>0</v>
      </c>
    </row>
    <row r="69" spans="2:9" ht="15" customHeight="1" x14ac:dyDescent="0.2">
      <c r="B69" t="s">
        <v>200</v>
      </c>
      <c r="C69" s="12">
        <v>9</v>
      </c>
      <c r="D69" s="8">
        <v>1.3</v>
      </c>
      <c r="E69" s="12">
        <v>7</v>
      </c>
      <c r="F69" s="8">
        <v>1.46</v>
      </c>
      <c r="G69" s="12">
        <v>2</v>
      </c>
      <c r="H69" s="8">
        <v>0.95</v>
      </c>
      <c r="I69" s="12">
        <v>0</v>
      </c>
    </row>
    <row r="70" spans="2:9" ht="15" customHeight="1" x14ac:dyDescent="0.2">
      <c r="B70" t="s">
        <v>165</v>
      </c>
      <c r="C70" s="12">
        <v>9</v>
      </c>
      <c r="D70" s="8">
        <v>1.3</v>
      </c>
      <c r="E70" s="12">
        <v>8</v>
      </c>
      <c r="F70" s="8">
        <v>1.67</v>
      </c>
      <c r="G70" s="12">
        <v>1</v>
      </c>
      <c r="H70" s="8">
        <v>0.48</v>
      </c>
      <c r="I70" s="12">
        <v>0</v>
      </c>
    </row>
    <row r="72" spans="2:9" ht="15" customHeight="1" x14ac:dyDescent="0.2">
      <c r="B72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EF2F7-82F2-4F96-A9C5-C183811ED8C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274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2</v>
      </c>
      <c r="D5" s="8">
        <v>0.05</v>
      </c>
      <c r="E5" s="12">
        <v>0</v>
      </c>
      <c r="F5" s="8">
        <v>0</v>
      </c>
      <c r="G5" s="12">
        <v>2</v>
      </c>
      <c r="H5" s="8">
        <v>7.0000000000000007E-2</v>
      </c>
      <c r="I5" s="12">
        <v>0</v>
      </c>
    </row>
    <row r="6" spans="2:9" ht="15" customHeight="1" x14ac:dyDescent="0.2">
      <c r="B6" t="s">
        <v>62</v>
      </c>
      <c r="C6" s="12">
        <v>1024</v>
      </c>
      <c r="D6" s="8">
        <v>23.34</v>
      </c>
      <c r="E6" s="12">
        <v>113</v>
      </c>
      <c r="F6" s="8">
        <v>7.09</v>
      </c>
      <c r="G6" s="12">
        <v>911</v>
      </c>
      <c r="H6" s="8">
        <v>32.71</v>
      </c>
      <c r="I6" s="12">
        <v>0</v>
      </c>
    </row>
    <row r="7" spans="2:9" ht="15" customHeight="1" x14ac:dyDescent="0.2">
      <c r="B7" t="s">
        <v>63</v>
      </c>
      <c r="C7" s="12">
        <v>218</v>
      </c>
      <c r="D7" s="8">
        <v>4.97</v>
      </c>
      <c r="E7" s="12">
        <v>35</v>
      </c>
      <c r="F7" s="8">
        <v>2.2000000000000002</v>
      </c>
      <c r="G7" s="12">
        <v>183</v>
      </c>
      <c r="H7" s="8">
        <v>6.57</v>
      </c>
      <c r="I7" s="12">
        <v>0</v>
      </c>
    </row>
    <row r="8" spans="2:9" ht="15" customHeight="1" x14ac:dyDescent="0.2">
      <c r="B8" t="s">
        <v>64</v>
      </c>
      <c r="C8" s="12">
        <v>9</v>
      </c>
      <c r="D8" s="8">
        <v>0.21</v>
      </c>
      <c r="E8" s="12">
        <v>0</v>
      </c>
      <c r="F8" s="8">
        <v>0</v>
      </c>
      <c r="G8" s="12">
        <v>8</v>
      </c>
      <c r="H8" s="8">
        <v>0.28999999999999998</v>
      </c>
      <c r="I8" s="12">
        <v>0</v>
      </c>
    </row>
    <row r="9" spans="2:9" ht="15" customHeight="1" x14ac:dyDescent="0.2">
      <c r="B9" t="s">
        <v>65</v>
      </c>
      <c r="C9" s="12">
        <v>33</v>
      </c>
      <c r="D9" s="8">
        <v>0.75</v>
      </c>
      <c r="E9" s="12">
        <v>0</v>
      </c>
      <c r="F9" s="8">
        <v>0</v>
      </c>
      <c r="G9" s="12">
        <v>33</v>
      </c>
      <c r="H9" s="8">
        <v>1.18</v>
      </c>
      <c r="I9" s="12">
        <v>0</v>
      </c>
    </row>
    <row r="10" spans="2:9" ht="15" customHeight="1" x14ac:dyDescent="0.2">
      <c r="B10" t="s">
        <v>66</v>
      </c>
      <c r="C10" s="12">
        <v>78</v>
      </c>
      <c r="D10" s="8">
        <v>1.78</v>
      </c>
      <c r="E10" s="12">
        <v>2</v>
      </c>
      <c r="F10" s="8">
        <v>0.13</v>
      </c>
      <c r="G10" s="12">
        <v>76</v>
      </c>
      <c r="H10" s="8">
        <v>2.73</v>
      </c>
      <c r="I10" s="12">
        <v>0</v>
      </c>
    </row>
    <row r="11" spans="2:9" ht="15" customHeight="1" x14ac:dyDescent="0.2">
      <c r="B11" t="s">
        <v>67</v>
      </c>
      <c r="C11" s="12">
        <v>878</v>
      </c>
      <c r="D11" s="8">
        <v>20.010000000000002</v>
      </c>
      <c r="E11" s="12">
        <v>282</v>
      </c>
      <c r="F11" s="8">
        <v>17.690000000000001</v>
      </c>
      <c r="G11" s="12">
        <v>596</v>
      </c>
      <c r="H11" s="8">
        <v>21.4</v>
      </c>
      <c r="I11" s="12">
        <v>0</v>
      </c>
    </row>
    <row r="12" spans="2:9" ht="15" customHeight="1" x14ac:dyDescent="0.2">
      <c r="B12" t="s">
        <v>68</v>
      </c>
      <c r="C12" s="12">
        <v>29</v>
      </c>
      <c r="D12" s="8">
        <v>0.66</v>
      </c>
      <c r="E12" s="12">
        <v>1</v>
      </c>
      <c r="F12" s="8">
        <v>0.06</v>
      </c>
      <c r="G12" s="12">
        <v>28</v>
      </c>
      <c r="H12" s="8">
        <v>1.01</v>
      </c>
      <c r="I12" s="12">
        <v>0</v>
      </c>
    </row>
    <row r="13" spans="2:9" ht="15" customHeight="1" x14ac:dyDescent="0.2">
      <c r="B13" t="s">
        <v>69</v>
      </c>
      <c r="C13" s="12">
        <v>349</v>
      </c>
      <c r="D13" s="8">
        <v>7.96</v>
      </c>
      <c r="E13" s="12">
        <v>35</v>
      </c>
      <c r="F13" s="8">
        <v>2.2000000000000002</v>
      </c>
      <c r="G13" s="12">
        <v>313</v>
      </c>
      <c r="H13" s="8">
        <v>11.24</v>
      </c>
      <c r="I13" s="12">
        <v>0</v>
      </c>
    </row>
    <row r="14" spans="2:9" ht="15" customHeight="1" x14ac:dyDescent="0.2">
      <c r="B14" t="s">
        <v>70</v>
      </c>
      <c r="C14" s="12">
        <v>190</v>
      </c>
      <c r="D14" s="8">
        <v>4.33</v>
      </c>
      <c r="E14" s="12">
        <v>72</v>
      </c>
      <c r="F14" s="8">
        <v>4.5199999999999996</v>
      </c>
      <c r="G14" s="12">
        <v>118</v>
      </c>
      <c r="H14" s="8">
        <v>4.24</v>
      </c>
      <c r="I14" s="12">
        <v>0</v>
      </c>
    </row>
    <row r="15" spans="2:9" ht="15" customHeight="1" x14ac:dyDescent="0.2">
      <c r="B15" t="s">
        <v>71</v>
      </c>
      <c r="C15" s="12">
        <v>476</v>
      </c>
      <c r="D15" s="8">
        <v>10.85</v>
      </c>
      <c r="E15" s="12">
        <v>364</v>
      </c>
      <c r="F15" s="8">
        <v>22.84</v>
      </c>
      <c r="G15" s="12">
        <v>112</v>
      </c>
      <c r="H15" s="8">
        <v>4.0199999999999996</v>
      </c>
      <c r="I15" s="12">
        <v>0</v>
      </c>
    </row>
    <row r="16" spans="2:9" ht="15" customHeight="1" x14ac:dyDescent="0.2">
      <c r="B16" t="s">
        <v>72</v>
      </c>
      <c r="C16" s="12">
        <v>606</v>
      </c>
      <c r="D16" s="8">
        <v>13.81</v>
      </c>
      <c r="E16" s="12">
        <v>446</v>
      </c>
      <c r="F16" s="8">
        <v>27.98</v>
      </c>
      <c r="G16" s="12">
        <v>160</v>
      </c>
      <c r="H16" s="8">
        <v>5.75</v>
      </c>
      <c r="I16" s="12">
        <v>0</v>
      </c>
    </row>
    <row r="17" spans="2:9" ht="15" customHeight="1" x14ac:dyDescent="0.2">
      <c r="B17" t="s">
        <v>73</v>
      </c>
      <c r="C17" s="12">
        <v>129</v>
      </c>
      <c r="D17" s="8">
        <v>2.94</v>
      </c>
      <c r="E17" s="12">
        <v>80</v>
      </c>
      <c r="F17" s="8">
        <v>5.0199999999999996</v>
      </c>
      <c r="G17" s="12">
        <v>45</v>
      </c>
      <c r="H17" s="8">
        <v>1.62</v>
      </c>
      <c r="I17" s="12">
        <v>1</v>
      </c>
    </row>
    <row r="18" spans="2:9" ht="15" customHeight="1" x14ac:dyDescent="0.2">
      <c r="B18" t="s">
        <v>74</v>
      </c>
      <c r="C18" s="12">
        <v>176</v>
      </c>
      <c r="D18" s="8">
        <v>4.01</v>
      </c>
      <c r="E18" s="12">
        <v>117</v>
      </c>
      <c r="F18" s="8">
        <v>7.34</v>
      </c>
      <c r="G18" s="12">
        <v>59</v>
      </c>
      <c r="H18" s="8">
        <v>2.12</v>
      </c>
      <c r="I18" s="12">
        <v>0</v>
      </c>
    </row>
    <row r="19" spans="2:9" ht="15" customHeight="1" x14ac:dyDescent="0.2">
      <c r="B19" t="s">
        <v>75</v>
      </c>
      <c r="C19" s="12">
        <v>190</v>
      </c>
      <c r="D19" s="8">
        <v>4.33</v>
      </c>
      <c r="E19" s="12">
        <v>47</v>
      </c>
      <c r="F19" s="8">
        <v>2.95</v>
      </c>
      <c r="G19" s="12">
        <v>141</v>
      </c>
      <c r="H19" s="8">
        <v>5.0599999999999996</v>
      </c>
      <c r="I19" s="12">
        <v>0</v>
      </c>
    </row>
    <row r="20" spans="2:9" ht="15" customHeight="1" x14ac:dyDescent="0.2">
      <c r="B20" s="9" t="s">
        <v>248</v>
      </c>
      <c r="C20" s="12">
        <f>SUM(LTBL_12219[総数／事業所数])</f>
        <v>4387</v>
      </c>
      <c r="E20" s="12">
        <f>SUBTOTAL(109,LTBL_12219[個人／事業所数])</f>
        <v>1594</v>
      </c>
      <c r="G20" s="12">
        <f>SUBTOTAL(109,LTBL_12219[法人／事業所数])</f>
        <v>2785</v>
      </c>
      <c r="I20" s="12">
        <f>SUBTOTAL(109,LTBL_12219[法人以外の団体／事業所数])</f>
        <v>1</v>
      </c>
    </row>
    <row r="21" spans="2:9" ht="15" customHeight="1" x14ac:dyDescent="0.2">
      <c r="E21" s="11">
        <f>LTBL_12219[[#Totals],[個人／事業所数]]/LTBL_12219[[#Totals],[総数／事業所数]]</f>
        <v>0.36334625028493278</v>
      </c>
      <c r="G21" s="11">
        <f>LTBL_12219[[#Totals],[法人／事業所数]]/LTBL_12219[[#Totals],[総数／事業所数]]</f>
        <v>0.63483018007750169</v>
      </c>
      <c r="I21" s="11">
        <f>LTBL_12219[[#Totals],[法人以外の団体／事業所数]]/LTBL_12219[[#Totals],[総数／事業所数]]</f>
        <v>2.2794620469569182E-4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525</v>
      </c>
      <c r="D24" s="8">
        <v>11.97</v>
      </c>
      <c r="E24" s="12">
        <v>415</v>
      </c>
      <c r="F24" s="8">
        <v>26.04</v>
      </c>
      <c r="G24" s="12">
        <v>110</v>
      </c>
      <c r="H24" s="8">
        <v>3.95</v>
      </c>
      <c r="I24" s="12">
        <v>0</v>
      </c>
    </row>
    <row r="25" spans="2:9" ht="15" customHeight="1" x14ac:dyDescent="0.2">
      <c r="B25" t="s">
        <v>97</v>
      </c>
      <c r="C25" s="12">
        <v>439</v>
      </c>
      <c r="D25" s="8">
        <v>10.01</v>
      </c>
      <c r="E25" s="12">
        <v>352</v>
      </c>
      <c r="F25" s="8">
        <v>22.08</v>
      </c>
      <c r="G25" s="12">
        <v>87</v>
      </c>
      <c r="H25" s="8">
        <v>3.12</v>
      </c>
      <c r="I25" s="12">
        <v>0</v>
      </c>
    </row>
    <row r="26" spans="2:9" ht="15" customHeight="1" x14ac:dyDescent="0.2">
      <c r="B26" t="s">
        <v>86</v>
      </c>
      <c r="C26" s="12">
        <v>410</v>
      </c>
      <c r="D26" s="8">
        <v>9.35</v>
      </c>
      <c r="E26" s="12">
        <v>27</v>
      </c>
      <c r="F26" s="8">
        <v>1.69</v>
      </c>
      <c r="G26" s="12">
        <v>383</v>
      </c>
      <c r="H26" s="8">
        <v>13.75</v>
      </c>
      <c r="I26" s="12">
        <v>0</v>
      </c>
    </row>
    <row r="27" spans="2:9" ht="15" customHeight="1" x14ac:dyDescent="0.2">
      <c r="B27" t="s">
        <v>85</v>
      </c>
      <c r="C27" s="12">
        <v>308</v>
      </c>
      <c r="D27" s="8">
        <v>7.02</v>
      </c>
      <c r="E27" s="12">
        <v>54</v>
      </c>
      <c r="F27" s="8">
        <v>3.39</v>
      </c>
      <c r="G27" s="12">
        <v>254</v>
      </c>
      <c r="H27" s="8">
        <v>9.1199999999999992</v>
      </c>
      <c r="I27" s="12">
        <v>0</v>
      </c>
    </row>
    <row r="28" spans="2:9" ht="15" customHeight="1" x14ac:dyDescent="0.2">
      <c r="B28" t="s">
        <v>84</v>
      </c>
      <c r="C28" s="12">
        <v>306</v>
      </c>
      <c r="D28" s="8">
        <v>6.98</v>
      </c>
      <c r="E28" s="12">
        <v>32</v>
      </c>
      <c r="F28" s="8">
        <v>2.0099999999999998</v>
      </c>
      <c r="G28" s="12">
        <v>274</v>
      </c>
      <c r="H28" s="8">
        <v>9.84</v>
      </c>
      <c r="I28" s="12">
        <v>0</v>
      </c>
    </row>
    <row r="29" spans="2:9" ht="15" customHeight="1" x14ac:dyDescent="0.2">
      <c r="B29" t="s">
        <v>92</v>
      </c>
      <c r="C29" s="12">
        <v>258</v>
      </c>
      <c r="D29" s="8">
        <v>5.88</v>
      </c>
      <c r="E29" s="12">
        <v>87</v>
      </c>
      <c r="F29" s="8">
        <v>5.46</v>
      </c>
      <c r="G29" s="12">
        <v>171</v>
      </c>
      <c r="H29" s="8">
        <v>6.14</v>
      </c>
      <c r="I29" s="12">
        <v>0</v>
      </c>
    </row>
    <row r="30" spans="2:9" ht="15" customHeight="1" x14ac:dyDescent="0.2">
      <c r="B30" t="s">
        <v>94</v>
      </c>
      <c r="C30" s="12">
        <v>250</v>
      </c>
      <c r="D30" s="8">
        <v>5.7</v>
      </c>
      <c r="E30" s="12">
        <v>33</v>
      </c>
      <c r="F30" s="8">
        <v>2.0699999999999998</v>
      </c>
      <c r="G30" s="12">
        <v>216</v>
      </c>
      <c r="H30" s="8">
        <v>7.76</v>
      </c>
      <c r="I30" s="12">
        <v>0</v>
      </c>
    </row>
    <row r="31" spans="2:9" ht="15" customHeight="1" x14ac:dyDescent="0.2">
      <c r="B31" t="s">
        <v>90</v>
      </c>
      <c r="C31" s="12">
        <v>175</v>
      </c>
      <c r="D31" s="8">
        <v>3.99</v>
      </c>
      <c r="E31" s="12">
        <v>100</v>
      </c>
      <c r="F31" s="8">
        <v>6.27</v>
      </c>
      <c r="G31" s="12">
        <v>75</v>
      </c>
      <c r="H31" s="8">
        <v>2.69</v>
      </c>
      <c r="I31" s="12">
        <v>0</v>
      </c>
    </row>
    <row r="32" spans="2:9" ht="15" customHeight="1" x14ac:dyDescent="0.2">
      <c r="B32" t="s">
        <v>101</v>
      </c>
      <c r="C32" s="12">
        <v>140</v>
      </c>
      <c r="D32" s="8">
        <v>3.19</v>
      </c>
      <c r="E32" s="12">
        <v>117</v>
      </c>
      <c r="F32" s="8">
        <v>7.34</v>
      </c>
      <c r="G32" s="12">
        <v>23</v>
      </c>
      <c r="H32" s="8">
        <v>0.83</v>
      </c>
      <c r="I32" s="12">
        <v>0</v>
      </c>
    </row>
    <row r="33" spans="2:9" ht="15" customHeight="1" x14ac:dyDescent="0.2">
      <c r="B33" t="s">
        <v>91</v>
      </c>
      <c r="C33" s="12">
        <v>132</v>
      </c>
      <c r="D33" s="8">
        <v>3.01</v>
      </c>
      <c r="E33" s="12">
        <v>55</v>
      </c>
      <c r="F33" s="8">
        <v>3.45</v>
      </c>
      <c r="G33" s="12">
        <v>77</v>
      </c>
      <c r="H33" s="8">
        <v>2.76</v>
      </c>
      <c r="I33" s="12">
        <v>0</v>
      </c>
    </row>
    <row r="34" spans="2:9" ht="15" customHeight="1" x14ac:dyDescent="0.2">
      <c r="B34" t="s">
        <v>100</v>
      </c>
      <c r="C34" s="12">
        <v>129</v>
      </c>
      <c r="D34" s="8">
        <v>2.94</v>
      </c>
      <c r="E34" s="12">
        <v>80</v>
      </c>
      <c r="F34" s="8">
        <v>5.0199999999999996</v>
      </c>
      <c r="G34" s="12">
        <v>45</v>
      </c>
      <c r="H34" s="8">
        <v>1.62</v>
      </c>
      <c r="I34" s="12">
        <v>1</v>
      </c>
    </row>
    <row r="35" spans="2:9" ht="15" customHeight="1" x14ac:dyDescent="0.2">
      <c r="B35" t="s">
        <v>96</v>
      </c>
      <c r="C35" s="12">
        <v>100</v>
      </c>
      <c r="D35" s="8">
        <v>2.2799999999999998</v>
      </c>
      <c r="E35" s="12">
        <v>18</v>
      </c>
      <c r="F35" s="8">
        <v>1.1299999999999999</v>
      </c>
      <c r="G35" s="12">
        <v>82</v>
      </c>
      <c r="H35" s="8">
        <v>2.94</v>
      </c>
      <c r="I35" s="12">
        <v>0</v>
      </c>
    </row>
    <row r="36" spans="2:9" ht="15" customHeight="1" x14ac:dyDescent="0.2">
      <c r="B36" t="s">
        <v>87</v>
      </c>
      <c r="C36" s="12">
        <v>85</v>
      </c>
      <c r="D36" s="8">
        <v>1.94</v>
      </c>
      <c r="E36" s="12">
        <v>3</v>
      </c>
      <c r="F36" s="8">
        <v>0.19</v>
      </c>
      <c r="G36" s="12">
        <v>82</v>
      </c>
      <c r="H36" s="8">
        <v>2.94</v>
      </c>
      <c r="I36" s="12">
        <v>0</v>
      </c>
    </row>
    <row r="37" spans="2:9" ht="15" customHeight="1" x14ac:dyDescent="0.2">
      <c r="B37" t="s">
        <v>95</v>
      </c>
      <c r="C37" s="12">
        <v>85</v>
      </c>
      <c r="D37" s="8">
        <v>1.94</v>
      </c>
      <c r="E37" s="12">
        <v>54</v>
      </c>
      <c r="F37" s="8">
        <v>3.39</v>
      </c>
      <c r="G37" s="12">
        <v>31</v>
      </c>
      <c r="H37" s="8">
        <v>1.1100000000000001</v>
      </c>
      <c r="I37" s="12">
        <v>0</v>
      </c>
    </row>
    <row r="38" spans="2:9" ht="15" customHeight="1" x14ac:dyDescent="0.2">
      <c r="B38" t="s">
        <v>103</v>
      </c>
      <c r="C38" s="12">
        <v>80</v>
      </c>
      <c r="D38" s="8">
        <v>1.82</v>
      </c>
      <c r="E38" s="12">
        <v>41</v>
      </c>
      <c r="F38" s="8">
        <v>2.57</v>
      </c>
      <c r="G38" s="12">
        <v>39</v>
      </c>
      <c r="H38" s="8">
        <v>1.4</v>
      </c>
      <c r="I38" s="12">
        <v>0</v>
      </c>
    </row>
    <row r="39" spans="2:9" ht="15" customHeight="1" x14ac:dyDescent="0.2">
      <c r="B39" t="s">
        <v>93</v>
      </c>
      <c r="C39" s="12">
        <v>78</v>
      </c>
      <c r="D39" s="8">
        <v>1.78</v>
      </c>
      <c r="E39" s="12">
        <v>2</v>
      </c>
      <c r="F39" s="8">
        <v>0.13</v>
      </c>
      <c r="G39" s="12">
        <v>76</v>
      </c>
      <c r="H39" s="8">
        <v>2.73</v>
      </c>
      <c r="I39" s="12">
        <v>0</v>
      </c>
    </row>
    <row r="40" spans="2:9" ht="15" customHeight="1" x14ac:dyDescent="0.2">
      <c r="B40" t="s">
        <v>89</v>
      </c>
      <c r="C40" s="12">
        <v>75</v>
      </c>
      <c r="D40" s="8">
        <v>1.71</v>
      </c>
      <c r="E40" s="12">
        <v>30</v>
      </c>
      <c r="F40" s="8">
        <v>1.88</v>
      </c>
      <c r="G40" s="12">
        <v>45</v>
      </c>
      <c r="H40" s="8">
        <v>1.62</v>
      </c>
      <c r="I40" s="12">
        <v>0</v>
      </c>
    </row>
    <row r="41" spans="2:9" ht="15" customHeight="1" x14ac:dyDescent="0.2">
      <c r="B41" t="s">
        <v>106</v>
      </c>
      <c r="C41" s="12">
        <v>65</v>
      </c>
      <c r="D41" s="8">
        <v>1.48</v>
      </c>
      <c r="E41" s="12">
        <v>6</v>
      </c>
      <c r="F41" s="8">
        <v>0.38</v>
      </c>
      <c r="G41" s="12">
        <v>59</v>
      </c>
      <c r="H41" s="8">
        <v>2.12</v>
      </c>
      <c r="I41" s="12">
        <v>0</v>
      </c>
    </row>
    <row r="42" spans="2:9" ht="15" customHeight="1" x14ac:dyDescent="0.2">
      <c r="B42" t="s">
        <v>88</v>
      </c>
      <c r="C42" s="12">
        <v>55</v>
      </c>
      <c r="D42" s="8">
        <v>1.25</v>
      </c>
      <c r="E42" s="12">
        <v>1</v>
      </c>
      <c r="F42" s="8">
        <v>0.06</v>
      </c>
      <c r="G42" s="12">
        <v>54</v>
      </c>
      <c r="H42" s="8">
        <v>1.94</v>
      </c>
      <c r="I42" s="12">
        <v>0</v>
      </c>
    </row>
    <row r="43" spans="2:9" ht="15" customHeight="1" x14ac:dyDescent="0.2">
      <c r="B43" t="s">
        <v>105</v>
      </c>
      <c r="C43" s="12">
        <v>54</v>
      </c>
      <c r="D43" s="8">
        <v>1.23</v>
      </c>
      <c r="E43" s="12">
        <v>0</v>
      </c>
      <c r="F43" s="8">
        <v>0</v>
      </c>
      <c r="G43" s="12">
        <v>54</v>
      </c>
      <c r="H43" s="8">
        <v>1.94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238</v>
      </c>
      <c r="D47" s="8">
        <v>5.43</v>
      </c>
      <c r="E47" s="12">
        <v>200</v>
      </c>
      <c r="F47" s="8">
        <v>12.55</v>
      </c>
      <c r="G47" s="12">
        <v>38</v>
      </c>
      <c r="H47" s="8">
        <v>1.36</v>
      </c>
      <c r="I47" s="12">
        <v>0</v>
      </c>
    </row>
    <row r="48" spans="2:9" ht="15" customHeight="1" x14ac:dyDescent="0.2">
      <c r="B48" t="s">
        <v>163</v>
      </c>
      <c r="C48" s="12">
        <v>188</v>
      </c>
      <c r="D48" s="8">
        <v>4.29</v>
      </c>
      <c r="E48" s="12">
        <v>176</v>
      </c>
      <c r="F48" s="8">
        <v>11.04</v>
      </c>
      <c r="G48" s="12">
        <v>12</v>
      </c>
      <c r="H48" s="8">
        <v>0.43</v>
      </c>
      <c r="I48" s="12">
        <v>0</v>
      </c>
    </row>
    <row r="49" spans="2:9" ht="15" customHeight="1" x14ac:dyDescent="0.2">
      <c r="B49" t="s">
        <v>153</v>
      </c>
      <c r="C49" s="12">
        <v>155</v>
      </c>
      <c r="D49" s="8">
        <v>3.53</v>
      </c>
      <c r="E49" s="12">
        <v>15</v>
      </c>
      <c r="F49" s="8">
        <v>0.94</v>
      </c>
      <c r="G49" s="12">
        <v>140</v>
      </c>
      <c r="H49" s="8">
        <v>5.03</v>
      </c>
      <c r="I49" s="12">
        <v>0</v>
      </c>
    </row>
    <row r="50" spans="2:9" ht="15" customHeight="1" x14ac:dyDescent="0.2">
      <c r="B50" t="s">
        <v>161</v>
      </c>
      <c r="C50" s="12">
        <v>147</v>
      </c>
      <c r="D50" s="8">
        <v>3.35</v>
      </c>
      <c r="E50" s="12">
        <v>109</v>
      </c>
      <c r="F50" s="8">
        <v>6.84</v>
      </c>
      <c r="G50" s="12">
        <v>38</v>
      </c>
      <c r="H50" s="8">
        <v>1.36</v>
      </c>
      <c r="I50" s="12">
        <v>0</v>
      </c>
    </row>
    <row r="51" spans="2:9" ht="15" customHeight="1" x14ac:dyDescent="0.2">
      <c r="B51" t="s">
        <v>152</v>
      </c>
      <c r="C51" s="12">
        <v>136</v>
      </c>
      <c r="D51" s="8">
        <v>3.1</v>
      </c>
      <c r="E51" s="12">
        <v>10</v>
      </c>
      <c r="F51" s="8">
        <v>0.63</v>
      </c>
      <c r="G51" s="12">
        <v>126</v>
      </c>
      <c r="H51" s="8">
        <v>4.5199999999999996</v>
      </c>
      <c r="I51" s="12">
        <v>0</v>
      </c>
    </row>
    <row r="52" spans="2:9" ht="15" customHeight="1" x14ac:dyDescent="0.2">
      <c r="B52" t="s">
        <v>162</v>
      </c>
      <c r="C52" s="12">
        <v>128</v>
      </c>
      <c r="D52" s="8">
        <v>2.92</v>
      </c>
      <c r="E52" s="12">
        <v>117</v>
      </c>
      <c r="F52" s="8">
        <v>7.34</v>
      </c>
      <c r="G52" s="12">
        <v>11</v>
      </c>
      <c r="H52" s="8">
        <v>0.39</v>
      </c>
      <c r="I52" s="12">
        <v>0</v>
      </c>
    </row>
    <row r="53" spans="2:9" ht="15" customHeight="1" x14ac:dyDescent="0.2">
      <c r="B53" t="s">
        <v>158</v>
      </c>
      <c r="C53" s="12">
        <v>126</v>
      </c>
      <c r="D53" s="8">
        <v>2.87</v>
      </c>
      <c r="E53" s="12">
        <v>23</v>
      </c>
      <c r="F53" s="8">
        <v>1.44</v>
      </c>
      <c r="G53" s="12">
        <v>102</v>
      </c>
      <c r="H53" s="8">
        <v>3.66</v>
      </c>
      <c r="I53" s="12">
        <v>0</v>
      </c>
    </row>
    <row r="54" spans="2:9" ht="15" customHeight="1" x14ac:dyDescent="0.2">
      <c r="B54" t="s">
        <v>148</v>
      </c>
      <c r="C54" s="12">
        <v>98</v>
      </c>
      <c r="D54" s="8">
        <v>2.23</v>
      </c>
      <c r="E54" s="12">
        <v>5</v>
      </c>
      <c r="F54" s="8">
        <v>0.31</v>
      </c>
      <c r="G54" s="12">
        <v>93</v>
      </c>
      <c r="H54" s="8">
        <v>3.34</v>
      </c>
      <c r="I54" s="12">
        <v>0</v>
      </c>
    </row>
    <row r="55" spans="2:9" ht="15" customHeight="1" x14ac:dyDescent="0.2">
      <c r="B55" t="s">
        <v>166</v>
      </c>
      <c r="C55" s="12">
        <v>91</v>
      </c>
      <c r="D55" s="8">
        <v>2.0699999999999998</v>
      </c>
      <c r="E55" s="12">
        <v>80</v>
      </c>
      <c r="F55" s="8">
        <v>5.0199999999999996</v>
      </c>
      <c r="G55" s="12">
        <v>11</v>
      </c>
      <c r="H55" s="8">
        <v>0.39</v>
      </c>
      <c r="I55" s="12">
        <v>0</v>
      </c>
    </row>
    <row r="56" spans="2:9" ht="15" customHeight="1" x14ac:dyDescent="0.2">
      <c r="B56" t="s">
        <v>155</v>
      </c>
      <c r="C56" s="12">
        <v>86</v>
      </c>
      <c r="D56" s="8">
        <v>1.96</v>
      </c>
      <c r="E56" s="12">
        <v>31</v>
      </c>
      <c r="F56" s="8">
        <v>1.94</v>
      </c>
      <c r="G56" s="12">
        <v>55</v>
      </c>
      <c r="H56" s="8">
        <v>1.97</v>
      </c>
      <c r="I56" s="12">
        <v>0</v>
      </c>
    </row>
    <row r="57" spans="2:9" ht="15" customHeight="1" x14ac:dyDescent="0.2">
      <c r="B57" t="s">
        <v>167</v>
      </c>
      <c r="C57" s="12">
        <v>80</v>
      </c>
      <c r="D57" s="8">
        <v>1.82</v>
      </c>
      <c r="E57" s="12">
        <v>41</v>
      </c>
      <c r="F57" s="8">
        <v>2.57</v>
      </c>
      <c r="G57" s="12">
        <v>39</v>
      </c>
      <c r="H57" s="8">
        <v>1.4</v>
      </c>
      <c r="I57" s="12">
        <v>0</v>
      </c>
    </row>
    <row r="58" spans="2:9" ht="15" customHeight="1" x14ac:dyDescent="0.2">
      <c r="B58" t="s">
        <v>154</v>
      </c>
      <c r="C58" s="12">
        <v>73</v>
      </c>
      <c r="D58" s="8">
        <v>1.66</v>
      </c>
      <c r="E58" s="12">
        <v>43</v>
      </c>
      <c r="F58" s="8">
        <v>2.7</v>
      </c>
      <c r="G58" s="12">
        <v>30</v>
      </c>
      <c r="H58" s="8">
        <v>1.08</v>
      </c>
      <c r="I58" s="12">
        <v>0</v>
      </c>
    </row>
    <row r="59" spans="2:9" ht="15" customHeight="1" x14ac:dyDescent="0.2">
      <c r="B59" t="s">
        <v>165</v>
      </c>
      <c r="C59" s="12">
        <v>70</v>
      </c>
      <c r="D59" s="8">
        <v>1.6</v>
      </c>
      <c r="E59" s="12">
        <v>45</v>
      </c>
      <c r="F59" s="8">
        <v>2.82</v>
      </c>
      <c r="G59" s="12">
        <v>24</v>
      </c>
      <c r="H59" s="8">
        <v>0.86</v>
      </c>
      <c r="I59" s="12">
        <v>1</v>
      </c>
    </row>
    <row r="60" spans="2:9" ht="15" customHeight="1" x14ac:dyDescent="0.2">
      <c r="B60" t="s">
        <v>151</v>
      </c>
      <c r="C60" s="12">
        <v>69</v>
      </c>
      <c r="D60" s="8">
        <v>1.57</v>
      </c>
      <c r="E60" s="12">
        <v>7</v>
      </c>
      <c r="F60" s="8">
        <v>0.44</v>
      </c>
      <c r="G60" s="12">
        <v>62</v>
      </c>
      <c r="H60" s="8">
        <v>2.23</v>
      </c>
      <c r="I60" s="12">
        <v>0</v>
      </c>
    </row>
    <row r="61" spans="2:9" ht="15" customHeight="1" x14ac:dyDescent="0.2">
      <c r="B61" t="s">
        <v>156</v>
      </c>
      <c r="C61" s="12">
        <v>66</v>
      </c>
      <c r="D61" s="8">
        <v>1.5</v>
      </c>
      <c r="E61" s="12">
        <v>25</v>
      </c>
      <c r="F61" s="8">
        <v>1.57</v>
      </c>
      <c r="G61" s="12">
        <v>41</v>
      </c>
      <c r="H61" s="8">
        <v>1.47</v>
      </c>
      <c r="I61" s="12">
        <v>0</v>
      </c>
    </row>
    <row r="62" spans="2:9" ht="15" customHeight="1" x14ac:dyDescent="0.2">
      <c r="B62" t="s">
        <v>175</v>
      </c>
      <c r="C62" s="12">
        <v>65</v>
      </c>
      <c r="D62" s="8">
        <v>1.48</v>
      </c>
      <c r="E62" s="12">
        <v>6</v>
      </c>
      <c r="F62" s="8">
        <v>0.38</v>
      </c>
      <c r="G62" s="12">
        <v>59</v>
      </c>
      <c r="H62" s="8">
        <v>2.12</v>
      </c>
      <c r="I62" s="12">
        <v>0</v>
      </c>
    </row>
    <row r="63" spans="2:9" ht="15" customHeight="1" x14ac:dyDescent="0.2">
      <c r="B63" t="s">
        <v>201</v>
      </c>
      <c r="C63" s="12">
        <v>63</v>
      </c>
      <c r="D63" s="8">
        <v>1.44</v>
      </c>
      <c r="E63" s="12">
        <v>1</v>
      </c>
      <c r="F63" s="8">
        <v>0.06</v>
      </c>
      <c r="G63" s="12">
        <v>62</v>
      </c>
      <c r="H63" s="8">
        <v>2.23</v>
      </c>
      <c r="I63" s="12">
        <v>0</v>
      </c>
    </row>
    <row r="64" spans="2:9" ht="15" customHeight="1" x14ac:dyDescent="0.2">
      <c r="B64" t="s">
        <v>149</v>
      </c>
      <c r="C64" s="12">
        <v>62</v>
      </c>
      <c r="D64" s="8">
        <v>1.41</v>
      </c>
      <c r="E64" s="12">
        <v>6</v>
      </c>
      <c r="F64" s="8">
        <v>0.38</v>
      </c>
      <c r="G64" s="12">
        <v>56</v>
      </c>
      <c r="H64" s="8">
        <v>2.0099999999999998</v>
      </c>
      <c r="I64" s="12">
        <v>0</v>
      </c>
    </row>
    <row r="65" spans="2:9" ht="15" customHeight="1" x14ac:dyDescent="0.2">
      <c r="B65" t="s">
        <v>174</v>
      </c>
      <c r="C65" s="12">
        <v>62</v>
      </c>
      <c r="D65" s="8">
        <v>1.41</v>
      </c>
      <c r="E65" s="12">
        <v>10</v>
      </c>
      <c r="F65" s="8">
        <v>0.63</v>
      </c>
      <c r="G65" s="12">
        <v>52</v>
      </c>
      <c r="H65" s="8">
        <v>1.87</v>
      </c>
      <c r="I65" s="12">
        <v>0</v>
      </c>
    </row>
    <row r="66" spans="2:9" ht="15" customHeight="1" x14ac:dyDescent="0.2">
      <c r="B66" t="s">
        <v>196</v>
      </c>
      <c r="C66" s="12">
        <v>61</v>
      </c>
      <c r="D66" s="8">
        <v>1.39</v>
      </c>
      <c r="E66" s="12">
        <v>9</v>
      </c>
      <c r="F66" s="8">
        <v>0.56000000000000005</v>
      </c>
      <c r="G66" s="12">
        <v>52</v>
      </c>
      <c r="H66" s="8">
        <v>1.87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A44F6-0E4F-4047-869E-07012145DD4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275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350</v>
      </c>
      <c r="D6" s="8">
        <v>14.78</v>
      </c>
      <c r="E6" s="12">
        <v>51</v>
      </c>
      <c r="F6" s="8">
        <v>5.62</v>
      </c>
      <c r="G6" s="12">
        <v>299</v>
      </c>
      <c r="H6" s="8">
        <v>20.56</v>
      </c>
      <c r="I6" s="12">
        <v>0</v>
      </c>
    </row>
    <row r="7" spans="2:9" ht="15" customHeight="1" x14ac:dyDescent="0.2">
      <c r="B7" t="s">
        <v>63</v>
      </c>
      <c r="C7" s="12">
        <v>160</v>
      </c>
      <c r="D7" s="8">
        <v>6.76</v>
      </c>
      <c r="E7" s="12">
        <v>42</v>
      </c>
      <c r="F7" s="8">
        <v>4.63</v>
      </c>
      <c r="G7" s="12">
        <v>118</v>
      </c>
      <c r="H7" s="8">
        <v>8.1199999999999992</v>
      </c>
      <c r="I7" s="12">
        <v>0</v>
      </c>
    </row>
    <row r="8" spans="2:9" ht="15" customHeight="1" x14ac:dyDescent="0.2">
      <c r="B8" t="s">
        <v>64</v>
      </c>
      <c r="C8" s="12">
        <v>4</v>
      </c>
      <c r="D8" s="8">
        <v>0.17</v>
      </c>
      <c r="E8" s="12">
        <v>0</v>
      </c>
      <c r="F8" s="8">
        <v>0</v>
      </c>
      <c r="G8" s="12">
        <v>4</v>
      </c>
      <c r="H8" s="8">
        <v>0.28000000000000003</v>
      </c>
      <c r="I8" s="12">
        <v>0</v>
      </c>
    </row>
    <row r="9" spans="2:9" ht="15" customHeight="1" x14ac:dyDescent="0.2">
      <c r="B9" t="s">
        <v>65</v>
      </c>
      <c r="C9" s="12">
        <v>35</v>
      </c>
      <c r="D9" s="8">
        <v>1.48</v>
      </c>
      <c r="E9" s="12">
        <v>2</v>
      </c>
      <c r="F9" s="8">
        <v>0.22</v>
      </c>
      <c r="G9" s="12">
        <v>33</v>
      </c>
      <c r="H9" s="8">
        <v>2.27</v>
      </c>
      <c r="I9" s="12">
        <v>0</v>
      </c>
    </row>
    <row r="10" spans="2:9" ht="15" customHeight="1" x14ac:dyDescent="0.2">
      <c r="B10" t="s">
        <v>66</v>
      </c>
      <c r="C10" s="12">
        <v>19</v>
      </c>
      <c r="D10" s="8">
        <v>0.8</v>
      </c>
      <c r="E10" s="12">
        <v>1</v>
      </c>
      <c r="F10" s="8">
        <v>0.11</v>
      </c>
      <c r="G10" s="12">
        <v>18</v>
      </c>
      <c r="H10" s="8">
        <v>1.24</v>
      </c>
      <c r="I10" s="12">
        <v>0</v>
      </c>
    </row>
    <row r="11" spans="2:9" ht="15" customHeight="1" x14ac:dyDescent="0.2">
      <c r="B11" t="s">
        <v>67</v>
      </c>
      <c r="C11" s="12">
        <v>458</v>
      </c>
      <c r="D11" s="8">
        <v>19.34</v>
      </c>
      <c r="E11" s="12">
        <v>145</v>
      </c>
      <c r="F11" s="8">
        <v>15.99</v>
      </c>
      <c r="G11" s="12">
        <v>313</v>
      </c>
      <c r="H11" s="8">
        <v>21.53</v>
      </c>
      <c r="I11" s="12">
        <v>0</v>
      </c>
    </row>
    <row r="12" spans="2:9" ht="15" customHeight="1" x14ac:dyDescent="0.2">
      <c r="B12" t="s">
        <v>68</v>
      </c>
      <c r="C12" s="12">
        <v>17</v>
      </c>
      <c r="D12" s="8">
        <v>0.72</v>
      </c>
      <c r="E12" s="12">
        <v>3</v>
      </c>
      <c r="F12" s="8">
        <v>0.33</v>
      </c>
      <c r="G12" s="12">
        <v>14</v>
      </c>
      <c r="H12" s="8">
        <v>0.96</v>
      </c>
      <c r="I12" s="12">
        <v>0</v>
      </c>
    </row>
    <row r="13" spans="2:9" ht="15" customHeight="1" x14ac:dyDescent="0.2">
      <c r="B13" t="s">
        <v>69</v>
      </c>
      <c r="C13" s="12">
        <v>289</v>
      </c>
      <c r="D13" s="8">
        <v>12.2</v>
      </c>
      <c r="E13" s="12">
        <v>68</v>
      </c>
      <c r="F13" s="8">
        <v>7.5</v>
      </c>
      <c r="G13" s="12">
        <v>220</v>
      </c>
      <c r="H13" s="8">
        <v>15.13</v>
      </c>
      <c r="I13" s="12">
        <v>0</v>
      </c>
    </row>
    <row r="14" spans="2:9" ht="15" customHeight="1" x14ac:dyDescent="0.2">
      <c r="B14" t="s">
        <v>70</v>
      </c>
      <c r="C14" s="12">
        <v>138</v>
      </c>
      <c r="D14" s="8">
        <v>5.83</v>
      </c>
      <c r="E14" s="12">
        <v>46</v>
      </c>
      <c r="F14" s="8">
        <v>5.07</v>
      </c>
      <c r="G14" s="12">
        <v>90</v>
      </c>
      <c r="H14" s="8">
        <v>6.19</v>
      </c>
      <c r="I14" s="12">
        <v>1</v>
      </c>
    </row>
    <row r="15" spans="2:9" ht="15" customHeight="1" x14ac:dyDescent="0.2">
      <c r="B15" t="s">
        <v>71</v>
      </c>
      <c r="C15" s="12">
        <v>220</v>
      </c>
      <c r="D15" s="8">
        <v>9.2899999999999991</v>
      </c>
      <c r="E15" s="12">
        <v>159</v>
      </c>
      <c r="F15" s="8">
        <v>17.53</v>
      </c>
      <c r="G15" s="12">
        <v>61</v>
      </c>
      <c r="H15" s="8">
        <v>4.2</v>
      </c>
      <c r="I15" s="12">
        <v>0</v>
      </c>
    </row>
    <row r="16" spans="2:9" ht="15" customHeight="1" x14ac:dyDescent="0.2">
      <c r="B16" t="s">
        <v>72</v>
      </c>
      <c r="C16" s="12">
        <v>316</v>
      </c>
      <c r="D16" s="8">
        <v>13.34</v>
      </c>
      <c r="E16" s="12">
        <v>227</v>
      </c>
      <c r="F16" s="8">
        <v>25.03</v>
      </c>
      <c r="G16" s="12">
        <v>88</v>
      </c>
      <c r="H16" s="8">
        <v>6.05</v>
      </c>
      <c r="I16" s="12">
        <v>1</v>
      </c>
    </row>
    <row r="17" spans="2:9" ht="15" customHeight="1" x14ac:dyDescent="0.2">
      <c r="B17" t="s">
        <v>73</v>
      </c>
      <c r="C17" s="12">
        <v>117</v>
      </c>
      <c r="D17" s="8">
        <v>4.9400000000000004</v>
      </c>
      <c r="E17" s="12">
        <v>64</v>
      </c>
      <c r="F17" s="8">
        <v>7.06</v>
      </c>
      <c r="G17" s="12">
        <v>53</v>
      </c>
      <c r="H17" s="8">
        <v>3.65</v>
      </c>
      <c r="I17" s="12">
        <v>0</v>
      </c>
    </row>
    <row r="18" spans="2:9" ht="15" customHeight="1" x14ac:dyDescent="0.2">
      <c r="B18" t="s">
        <v>74</v>
      </c>
      <c r="C18" s="12">
        <v>153</v>
      </c>
      <c r="D18" s="8">
        <v>6.46</v>
      </c>
      <c r="E18" s="12">
        <v>87</v>
      </c>
      <c r="F18" s="8">
        <v>9.59</v>
      </c>
      <c r="G18" s="12">
        <v>66</v>
      </c>
      <c r="H18" s="8">
        <v>4.54</v>
      </c>
      <c r="I18" s="12">
        <v>0</v>
      </c>
    </row>
    <row r="19" spans="2:9" ht="15" customHeight="1" x14ac:dyDescent="0.2">
      <c r="B19" t="s">
        <v>75</v>
      </c>
      <c r="C19" s="12">
        <v>92</v>
      </c>
      <c r="D19" s="8">
        <v>3.89</v>
      </c>
      <c r="E19" s="12">
        <v>12</v>
      </c>
      <c r="F19" s="8">
        <v>1.32</v>
      </c>
      <c r="G19" s="12">
        <v>77</v>
      </c>
      <c r="H19" s="8">
        <v>5.3</v>
      </c>
      <c r="I19" s="12">
        <v>2</v>
      </c>
    </row>
    <row r="20" spans="2:9" ht="15" customHeight="1" x14ac:dyDescent="0.2">
      <c r="B20" s="9" t="s">
        <v>248</v>
      </c>
      <c r="C20" s="12">
        <f>SUM(LTBL_12220[総数／事業所数])</f>
        <v>2368</v>
      </c>
      <c r="E20" s="12">
        <f>SUBTOTAL(109,LTBL_12220[個人／事業所数])</f>
        <v>907</v>
      </c>
      <c r="G20" s="12">
        <f>SUBTOTAL(109,LTBL_12220[法人／事業所数])</f>
        <v>1454</v>
      </c>
      <c r="I20" s="12">
        <f>SUBTOTAL(109,LTBL_12220[法人以外の団体／事業所数])</f>
        <v>4</v>
      </c>
    </row>
    <row r="21" spans="2:9" ht="15" customHeight="1" x14ac:dyDescent="0.2">
      <c r="E21" s="11">
        <f>LTBL_12220[[#Totals],[個人／事業所数]]/LTBL_12220[[#Totals],[総数／事業所数]]</f>
        <v>0.38302364864864863</v>
      </c>
      <c r="G21" s="11">
        <f>LTBL_12220[[#Totals],[法人／事業所数]]/LTBL_12220[[#Totals],[総数／事業所数]]</f>
        <v>0.61402027027027029</v>
      </c>
      <c r="I21" s="11">
        <f>LTBL_12220[[#Totals],[法人以外の団体／事業所数]]/LTBL_12220[[#Totals],[総数／事業所数]]</f>
        <v>1.6891891891891893E-3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265</v>
      </c>
      <c r="D24" s="8">
        <v>11.19</v>
      </c>
      <c r="E24" s="12">
        <v>207</v>
      </c>
      <c r="F24" s="8">
        <v>22.82</v>
      </c>
      <c r="G24" s="12">
        <v>57</v>
      </c>
      <c r="H24" s="8">
        <v>3.92</v>
      </c>
      <c r="I24" s="12">
        <v>1</v>
      </c>
    </row>
    <row r="25" spans="2:9" ht="15" customHeight="1" x14ac:dyDescent="0.2">
      <c r="B25" t="s">
        <v>94</v>
      </c>
      <c r="C25" s="12">
        <v>213</v>
      </c>
      <c r="D25" s="8">
        <v>8.99</v>
      </c>
      <c r="E25" s="12">
        <v>67</v>
      </c>
      <c r="F25" s="8">
        <v>7.39</v>
      </c>
      <c r="G25" s="12">
        <v>145</v>
      </c>
      <c r="H25" s="8">
        <v>9.9700000000000006</v>
      </c>
      <c r="I25" s="12">
        <v>0</v>
      </c>
    </row>
    <row r="26" spans="2:9" ht="15" customHeight="1" x14ac:dyDescent="0.2">
      <c r="B26" t="s">
        <v>97</v>
      </c>
      <c r="C26" s="12">
        <v>180</v>
      </c>
      <c r="D26" s="8">
        <v>7.6</v>
      </c>
      <c r="E26" s="12">
        <v>150</v>
      </c>
      <c r="F26" s="8">
        <v>16.54</v>
      </c>
      <c r="G26" s="12">
        <v>30</v>
      </c>
      <c r="H26" s="8">
        <v>2.06</v>
      </c>
      <c r="I26" s="12">
        <v>0</v>
      </c>
    </row>
    <row r="27" spans="2:9" ht="15" customHeight="1" x14ac:dyDescent="0.2">
      <c r="B27" t="s">
        <v>84</v>
      </c>
      <c r="C27" s="12">
        <v>141</v>
      </c>
      <c r="D27" s="8">
        <v>5.95</v>
      </c>
      <c r="E27" s="12">
        <v>14</v>
      </c>
      <c r="F27" s="8">
        <v>1.54</v>
      </c>
      <c r="G27" s="12">
        <v>127</v>
      </c>
      <c r="H27" s="8">
        <v>8.73</v>
      </c>
      <c r="I27" s="12">
        <v>0</v>
      </c>
    </row>
    <row r="28" spans="2:9" ht="15" customHeight="1" x14ac:dyDescent="0.2">
      <c r="B28" t="s">
        <v>100</v>
      </c>
      <c r="C28" s="12">
        <v>117</v>
      </c>
      <c r="D28" s="8">
        <v>4.9400000000000004</v>
      </c>
      <c r="E28" s="12">
        <v>64</v>
      </c>
      <c r="F28" s="8">
        <v>7.06</v>
      </c>
      <c r="G28" s="12">
        <v>53</v>
      </c>
      <c r="H28" s="8">
        <v>3.65</v>
      </c>
      <c r="I28" s="12">
        <v>0</v>
      </c>
    </row>
    <row r="29" spans="2:9" ht="15" customHeight="1" x14ac:dyDescent="0.2">
      <c r="B29" t="s">
        <v>101</v>
      </c>
      <c r="C29" s="12">
        <v>112</v>
      </c>
      <c r="D29" s="8">
        <v>4.7300000000000004</v>
      </c>
      <c r="E29" s="12">
        <v>86</v>
      </c>
      <c r="F29" s="8">
        <v>9.48</v>
      </c>
      <c r="G29" s="12">
        <v>26</v>
      </c>
      <c r="H29" s="8">
        <v>1.79</v>
      </c>
      <c r="I29" s="12">
        <v>0</v>
      </c>
    </row>
    <row r="30" spans="2:9" ht="15" customHeight="1" x14ac:dyDescent="0.2">
      <c r="B30" t="s">
        <v>85</v>
      </c>
      <c r="C30" s="12">
        <v>111</v>
      </c>
      <c r="D30" s="8">
        <v>4.6900000000000004</v>
      </c>
      <c r="E30" s="12">
        <v>30</v>
      </c>
      <c r="F30" s="8">
        <v>3.31</v>
      </c>
      <c r="G30" s="12">
        <v>81</v>
      </c>
      <c r="H30" s="8">
        <v>5.57</v>
      </c>
      <c r="I30" s="12">
        <v>0</v>
      </c>
    </row>
    <row r="31" spans="2:9" ht="15" customHeight="1" x14ac:dyDescent="0.2">
      <c r="B31" t="s">
        <v>90</v>
      </c>
      <c r="C31" s="12">
        <v>107</v>
      </c>
      <c r="D31" s="8">
        <v>4.5199999999999996</v>
      </c>
      <c r="E31" s="12">
        <v>51</v>
      </c>
      <c r="F31" s="8">
        <v>5.62</v>
      </c>
      <c r="G31" s="12">
        <v>56</v>
      </c>
      <c r="H31" s="8">
        <v>3.85</v>
      </c>
      <c r="I31" s="12">
        <v>0</v>
      </c>
    </row>
    <row r="32" spans="2:9" ht="15" customHeight="1" x14ac:dyDescent="0.2">
      <c r="B32" t="s">
        <v>92</v>
      </c>
      <c r="C32" s="12">
        <v>99</v>
      </c>
      <c r="D32" s="8">
        <v>4.18</v>
      </c>
      <c r="E32" s="12">
        <v>48</v>
      </c>
      <c r="F32" s="8">
        <v>5.29</v>
      </c>
      <c r="G32" s="12">
        <v>51</v>
      </c>
      <c r="H32" s="8">
        <v>3.51</v>
      </c>
      <c r="I32" s="12">
        <v>0</v>
      </c>
    </row>
    <row r="33" spans="2:9" ht="15" customHeight="1" x14ac:dyDescent="0.2">
      <c r="B33" t="s">
        <v>86</v>
      </c>
      <c r="C33" s="12">
        <v>98</v>
      </c>
      <c r="D33" s="8">
        <v>4.1399999999999997</v>
      </c>
      <c r="E33" s="12">
        <v>7</v>
      </c>
      <c r="F33" s="8">
        <v>0.77</v>
      </c>
      <c r="G33" s="12">
        <v>91</v>
      </c>
      <c r="H33" s="8">
        <v>6.26</v>
      </c>
      <c r="I33" s="12">
        <v>0</v>
      </c>
    </row>
    <row r="34" spans="2:9" ht="15" customHeight="1" x14ac:dyDescent="0.2">
      <c r="B34" t="s">
        <v>95</v>
      </c>
      <c r="C34" s="12">
        <v>76</v>
      </c>
      <c r="D34" s="8">
        <v>3.21</v>
      </c>
      <c r="E34" s="12">
        <v>26</v>
      </c>
      <c r="F34" s="8">
        <v>2.87</v>
      </c>
      <c r="G34" s="12">
        <v>50</v>
      </c>
      <c r="H34" s="8">
        <v>3.44</v>
      </c>
      <c r="I34" s="12">
        <v>0</v>
      </c>
    </row>
    <row r="35" spans="2:9" ht="15" customHeight="1" x14ac:dyDescent="0.2">
      <c r="B35" t="s">
        <v>89</v>
      </c>
      <c r="C35" s="12">
        <v>66</v>
      </c>
      <c r="D35" s="8">
        <v>2.79</v>
      </c>
      <c r="E35" s="12">
        <v>16</v>
      </c>
      <c r="F35" s="8">
        <v>1.76</v>
      </c>
      <c r="G35" s="12">
        <v>50</v>
      </c>
      <c r="H35" s="8">
        <v>3.44</v>
      </c>
      <c r="I35" s="12">
        <v>0</v>
      </c>
    </row>
    <row r="36" spans="2:9" ht="15" customHeight="1" x14ac:dyDescent="0.2">
      <c r="B36" t="s">
        <v>93</v>
      </c>
      <c r="C36" s="12">
        <v>66</v>
      </c>
      <c r="D36" s="8">
        <v>2.79</v>
      </c>
      <c r="E36" s="12">
        <v>1</v>
      </c>
      <c r="F36" s="8">
        <v>0.11</v>
      </c>
      <c r="G36" s="12">
        <v>65</v>
      </c>
      <c r="H36" s="8">
        <v>4.47</v>
      </c>
      <c r="I36" s="12">
        <v>0</v>
      </c>
    </row>
    <row r="37" spans="2:9" ht="15" customHeight="1" x14ac:dyDescent="0.2">
      <c r="B37" t="s">
        <v>96</v>
      </c>
      <c r="C37" s="12">
        <v>58</v>
      </c>
      <c r="D37" s="8">
        <v>2.4500000000000002</v>
      </c>
      <c r="E37" s="12">
        <v>20</v>
      </c>
      <c r="F37" s="8">
        <v>2.21</v>
      </c>
      <c r="G37" s="12">
        <v>36</v>
      </c>
      <c r="H37" s="8">
        <v>2.48</v>
      </c>
      <c r="I37" s="12">
        <v>1</v>
      </c>
    </row>
    <row r="38" spans="2:9" ht="15" customHeight="1" x14ac:dyDescent="0.2">
      <c r="B38" t="s">
        <v>91</v>
      </c>
      <c r="C38" s="12">
        <v>52</v>
      </c>
      <c r="D38" s="8">
        <v>2.2000000000000002</v>
      </c>
      <c r="E38" s="12">
        <v>17</v>
      </c>
      <c r="F38" s="8">
        <v>1.87</v>
      </c>
      <c r="G38" s="12">
        <v>35</v>
      </c>
      <c r="H38" s="8">
        <v>2.41</v>
      </c>
      <c r="I38" s="12">
        <v>0</v>
      </c>
    </row>
    <row r="39" spans="2:9" ht="15" customHeight="1" x14ac:dyDescent="0.2">
      <c r="B39" t="s">
        <v>102</v>
      </c>
      <c r="C39" s="12">
        <v>41</v>
      </c>
      <c r="D39" s="8">
        <v>1.73</v>
      </c>
      <c r="E39" s="12">
        <v>1</v>
      </c>
      <c r="F39" s="8">
        <v>0.11</v>
      </c>
      <c r="G39" s="12">
        <v>40</v>
      </c>
      <c r="H39" s="8">
        <v>2.75</v>
      </c>
      <c r="I39" s="12">
        <v>0</v>
      </c>
    </row>
    <row r="40" spans="2:9" ht="15" customHeight="1" x14ac:dyDescent="0.2">
      <c r="B40" t="s">
        <v>107</v>
      </c>
      <c r="C40" s="12">
        <v>35</v>
      </c>
      <c r="D40" s="8">
        <v>1.48</v>
      </c>
      <c r="E40" s="12">
        <v>6</v>
      </c>
      <c r="F40" s="8">
        <v>0.66</v>
      </c>
      <c r="G40" s="12">
        <v>29</v>
      </c>
      <c r="H40" s="8">
        <v>1.99</v>
      </c>
      <c r="I40" s="12">
        <v>0</v>
      </c>
    </row>
    <row r="41" spans="2:9" ht="15" customHeight="1" x14ac:dyDescent="0.2">
      <c r="B41" t="s">
        <v>105</v>
      </c>
      <c r="C41" s="12">
        <v>35</v>
      </c>
      <c r="D41" s="8">
        <v>1.48</v>
      </c>
      <c r="E41" s="12">
        <v>1</v>
      </c>
      <c r="F41" s="8">
        <v>0.11</v>
      </c>
      <c r="G41" s="12">
        <v>33</v>
      </c>
      <c r="H41" s="8">
        <v>2.27</v>
      </c>
      <c r="I41" s="12">
        <v>1</v>
      </c>
    </row>
    <row r="42" spans="2:9" ht="15" customHeight="1" x14ac:dyDescent="0.2">
      <c r="B42" t="s">
        <v>104</v>
      </c>
      <c r="C42" s="12">
        <v>34</v>
      </c>
      <c r="D42" s="8">
        <v>1.44</v>
      </c>
      <c r="E42" s="12">
        <v>3</v>
      </c>
      <c r="F42" s="8">
        <v>0.33</v>
      </c>
      <c r="G42" s="12">
        <v>31</v>
      </c>
      <c r="H42" s="8">
        <v>2.13</v>
      </c>
      <c r="I42" s="12">
        <v>0</v>
      </c>
    </row>
    <row r="43" spans="2:9" ht="15" customHeight="1" x14ac:dyDescent="0.2">
      <c r="B43" t="s">
        <v>99</v>
      </c>
      <c r="C43" s="12">
        <v>34</v>
      </c>
      <c r="D43" s="8">
        <v>1.44</v>
      </c>
      <c r="E43" s="12">
        <v>12</v>
      </c>
      <c r="F43" s="8">
        <v>1.32</v>
      </c>
      <c r="G43" s="12">
        <v>22</v>
      </c>
      <c r="H43" s="8">
        <v>1.51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142</v>
      </c>
      <c r="D47" s="8">
        <v>6</v>
      </c>
      <c r="E47" s="12">
        <v>118</v>
      </c>
      <c r="F47" s="8">
        <v>13.01</v>
      </c>
      <c r="G47" s="12">
        <v>24</v>
      </c>
      <c r="H47" s="8">
        <v>1.65</v>
      </c>
      <c r="I47" s="12">
        <v>0</v>
      </c>
    </row>
    <row r="48" spans="2:9" ht="15" customHeight="1" x14ac:dyDescent="0.2">
      <c r="B48" t="s">
        <v>158</v>
      </c>
      <c r="C48" s="12">
        <v>125</v>
      </c>
      <c r="D48" s="8">
        <v>5.28</v>
      </c>
      <c r="E48" s="12">
        <v>57</v>
      </c>
      <c r="F48" s="8">
        <v>6.28</v>
      </c>
      <c r="G48" s="12">
        <v>67</v>
      </c>
      <c r="H48" s="8">
        <v>4.6100000000000003</v>
      </c>
      <c r="I48" s="12">
        <v>0</v>
      </c>
    </row>
    <row r="49" spans="2:9" ht="15" customHeight="1" x14ac:dyDescent="0.2">
      <c r="B49" t="s">
        <v>166</v>
      </c>
      <c r="C49" s="12">
        <v>68</v>
      </c>
      <c r="D49" s="8">
        <v>2.87</v>
      </c>
      <c r="E49" s="12">
        <v>54</v>
      </c>
      <c r="F49" s="8">
        <v>5.95</v>
      </c>
      <c r="G49" s="12">
        <v>14</v>
      </c>
      <c r="H49" s="8">
        <v>0.96</v>
      </c>
      <c r="I49" s="12">
        <v>0</v>
      </c>
    </row>
    <row r="50" spans="2:9" ht="15" customHeight="1" x14ac:dyDescent="0.2">
      <c r="B50" t="s">
        <v>163</v>
      </c>
      <c r="C50" s="12">
        <v>64</v>
      </c>
      <c r="D50" s="8">
        <v>2.7</v>
      </c>
      <c r="E50" s="12">
        <v>55</v>
      </c>
      <c r="F50" s="8">
        <v>6.06</v>
      </c>
      <c r="G50" s="12">
        <v>8</v>
      </c>
      <c r="H50" s="8">
        <v>0.55000000000000004</v>
      </c>
      <c r="I50" s="12">
        <v>1</v>
      </c>
    </row>
    <row r="51" spans="2:9" ht="15" customHeight="1" x14ac:dyDescent="0.2">
      <c r="B51" t="s">
        <v>165</v>
      </c>
      <c r="C51" s="12">
        <v>64</v>
      </c>
      <c r="D51" s="8">
        <v>2.7</v>
      </c>
      <c r="E51" s="12">
        <v>41</v>
      </c>
      <c r="F51" s="8">
        <v>4.5199999999999996</v>
      </c>
      <c r="G51" s="12">
        <v>23</v>
      </c>
      <c r="H51" s="8">
        <v>1.58</v>
      </c>
      <c r="I51" s="12">
        <v>0</v>
      </c>
    </row>
    <row r="52" spans="2:9" ht="15" customHeight="1" x14ac:dyDescent="0.2">
      <c r="B52" t="s">
        <v>162</v>
      </c>
      <c r="C52" s="12">
        <v>52</v>
      </c>
      <c r="D52" s="8">
        <v>2.2000000000000002</v>
      </c>
      <c r="E52" s="12">
        <v>49</v>
      </c>
      <c r="F52" s="8">
        <v>5.4</v>
      </c>
      <c r="G52" s="12">
        <v>3</v>
      </c>
      <c r="H52" s="8">
        <v>0.21</v>
      </c>
      <c r="I52" s="12">
        <v>0</v>
      </c>
    </row>
    <row r="53" spans="2:9" ht="15" customHeight="1" x14ac:dyDescent="0.2">
      <c r="B53" t="s">
        <v>159</v>
      </c>
      <c r="C53" s="12">
        <v>51</v>
      </c>
      <c r="D53" s="8">
        <v>2.15</v>
      </c>
      <c r="E53" s="12">
        <v>0</v>
      </c>
      <c r="F53" s="8">
        <v>0</v>
      </c>
      <c r="G53" s="12">
        <v>51</v>
      </c>
      <c r="H53" s="8">
        <v>3.51</v>
      </c>
      <c r="I53" s="12">
        <v>0</v>
      </c>
    </row>
    <row r="54" spans="2:9" ht="15" customHeight="1" x14ac:dyDescent="0.2">
      <c r="B54" t="s">
        <v>161</v>
      </c>
      <c r="C54" s="12">
        <v>49</v>
      </c>
      <c r="D54" s="8">
        <v>2.0699999999999998</v>
      </c>
      <c r="E54" s="12">
        <v>40</v>
      </c>
      <c r="F54" s="8">
        <v>4.41</v>
      </c>
      <c r="G54" s="12">
        <v>9</v>
      </c>
      <c r="H54" s="8">
        <v>0.62</v>
      </c>
      <c r="I54" s="12">
        <v>0</v>
      </c>
    </row>
    <row r="55" spans="2:9" ht="15" customHeight="1" x14ac:dyDescent="0.2">
      <c r="B55" t="s">
        <v>152</v>
      </c>
      <c r="C55" s="12">
        <v>45</v>
      </c>
      <c r="D55" s="8">
        <v>1.9</v>
      </c>
      <c r="E55" s="12">
        <v>5</v>
      </c>
      <c r="F55" s="8">
        <v>0.55000000000000004</v>
      </c>
      <c r="G55" s="12">
        <v>40</v>
      </c>
      <c r="H55" s="8">
        <v>2.75</v>
      </c>
      <c r="I55" s="12">
        <v>0</v>
      </c>
    </row>
    <row r="56" spans="2:9" ht="15" customHeight="1" x14ac:dyDescent="0.2">
      <c r="B56" t="s">
        <v>169</v>
      </c>
      <c r="C56" s="12">
        <v>43</v>
      </c>
      <c r="D56" s="8">
        <v>1.82</v>
      </c>
      <c r="E56" s="12">
        <v>22</v>
      </c>
      <c r="F56" s="8">
        <v>2.4300000000000002</v>
      </c>
      <c r="G56" s="12">
        <v>21</v>
      </c>
      <c r="H56" s="8">
        <v>1.44</v>
      </c>
      <c r="I56" s="12">
        <v>0</v>
      </c>
    </row>
    <row r="57" spans="2:9" ht="15" customHeight="1" x14ac:dyDescent="0.2">
      <c r="B57" t="s">
        <v>180</v>
      </c>
      <c r="C57" s="12">
        <v>42</v>
      </c>
      <c r="D57" s="8">
        <v>1.77</v>
      </c>
      <c r="E57" s="12">
        <v>23</v>
      </c>
      <c r="F57" s="8">
        <v>2.54</v>
      </c>
      <c r="G57" s="12">
        <v>19</v>
      </c>
      <c r="H57" s="8">
        <v>1.31</v>
      </c>
      <c r="I57" s="12">
        <v>0</v>
      </c>
    </row>
    <row r="58" spans="2:9" ht="15" customHeight="1" x14ac:dyDescent="0.2">
      <c r="B58" t="s">
        <v>171</v>
      </c>
      <c r="C58" s="12">
        <v>41</v>
      </c>
      <c r="D58" s="8">
        <v>1.73</v>
      </c>
      <c r="E58" s="12">
        <v>1</v>
      </c>
      <c r="F58" s="8">
        <v>0.11</v>
      </c>
      <c r="G58" s="12">
        <v>40</v>
      </c>
      <c r="H58" s="8">
        <v>2.75</v>
      </c>
      <c r="I58" s="12">
        <v>0</v>
      </c>
    </row>
    <row r="59" spans="2:9" ht="15" customHeight="1" x14ac:dyDescent="0.2">
      <c r="B59" t="s">
        <v>190</v>
      </c>
      <c r="C59" s="12">
        <v>38</v>
      </c>
      <c r="D59" s="8">
        <v>1.6</v>
      </c>
      <c r="E59" s="12">
        <v>21</v>
      </c>
      <c r="F59" s="8">
        <v>2.3199999999999998</v>
      </c>
      <c r="G59" s="12">
        <v>17</v>
      </c>
      <c r="H59" s="8">
        <v>1.17</v>
      </c>
      <c r="I59" s="12">
        <v>0</v>
      </c>
    </row>
    <row r="60" spans="2:9" ht="15" customHeight="1" x14ac:dyDescent="0.2">
      <c r="B60" t="s">
        <v>154</v>
      </c>
      <c r="C60" s="12">
        <v>37</v>
      </c>
      <c r="D60" s="8">
        <v>1.56</v>
      </c>
      <c r="E60" s="12">
        <v>14</v>
      </c>
      <c r="F60" s="8">
        <v>1.54</v>
      </c>
      <c r="G60" s="12">
        <v>23</v>
      </c>
      <c r="H60" s="8">
        <v>1.58</v>
      </c>
      <c r="I60" s="12">
        <v>0</v>
      </c>
    </row>
    <row r="61" spans="2:9" ht="15" customHeight="1" x14ac:dyDescent="0.2">
      <c r="B61" t="s">
        <v>150</v>
      </c>
      <c r="C61" s="12">
        <v>35</v>
      </c>
      <c r="D61" s="8">
        <v>1.48</v>
      </c>
      <c r="E61" s="12">
        <v>7</v>
      </c>
      <c r="F61" s="8">
        <v>0.77</v>
      </c>
      <c r="G61" s="12">
        <v>28</v>
      </c>
      <c r="H61" s="8">
        <v>1.93</v>
      </c>
      <c r="I61" s="12">
        <v>0</v>
      </c>
    </row>
    <row r="62" spans="2:9" ht="15" customHeight="1" x14ac:dyDescent="0.2">
      <c r="B62" t="s">
        <v>160</v>
      </c>
      <c r="C62" s="12">
        <v>35</v>
      </c>
      <c r="D62" s="8">
        <v>1.48</v>
      </c>
      <c r="E62" s="12">
        <v>7</v>
      </c>
      <c r="F62" s="8">
        <v>0.77</v>
      </c>
      <c r="G62" s="12">
        <v>27</v>
      </c>
      <c r="H62" s="8">
        <v>1.86</v>
      </c>
      <c r="I62" s="12">
        <v>0</v>
      </c>
    </row>
    <row r="63" spans="2:9" ht="15" customHeight="1" x14ac:dyDescent="0.2">
      <c r="B63" t="s">
        <v>148</v>
      </c>
      <c r="C63" s="12">
        <v>34</v>
      </c>
      <c r="D63" s="8">
        <v>1.44</v>
      </c>
      <c r="E63" s="12">
        <v>2</v>
      </c>
      <c r="F63" s="8">
        <v>0.22</v>
      </c>
      <c r="G63" s="12">
        <v>32</v>
      </c>
      <c r="H63" s="8">
        <v>2.2000000000000002</v>
      </c>
      <c r="I63" s="12">
        <v>0</v>
      </c>
    </row>
    <row r="64" spans="2:9" ht="15" customHeight="1" x14ac:dyDescent="0.2">
      <c r="B64" t="s">
        <v>149</v>
      </c>
      <c r="C64" s="12">
        <v>34</v>
      </c>
      <c r="D64" s="8">
        <v>1.44</v>
      </c>
      <c r="E64" s="12">
        <v>0</v>
      </c>
      <c r="F64" s="8">
        <v>0</v>
      </c>
      <c r="G64" s="12">
        <v>34</v>
      </c>
      <c r="H64" s="8">
        <v>2.34</v>
      </c>
      <c r="I64" s="12">
        <v>0</v>
      </c>
    </row>
    <row r="65" spans="2:9" ht="15" customHeight="1" x14ac:dyDescent="0.2">
      <c r="B65" t="s">
        <v>170</v>
      </c>
      <c r="C65" s="12">
        <v>34</v>
      </c>
      <c r="D65" s="8">
        <v>1.44</v>
      </c>
      <c r="E65" s="12">
        <v>29</v>
      </c>
      <c r="F65" s="8">
        <v>3.2</v>
      </c>
      <c r="G65" s="12">
        <v>5</v>
      </c>
      <c r="H65" s="8">
        <v>0.34</v>
      </c>
      <c r="I65" s="12">
        <v>0</v>
      </c>
    </row>
    <row r="66" spans="2:9" ht="15" customHeight="1" x14ac:dyDescent="0.2">
      <c r="B66" t="s">
        <v>151</v>
      </c>
      <c r="C66" s="12">
        <v>33</v>
      </c>
      <c r="D66" s="8">
        <v>1.39</v>
      </c>
      <c r="E66" s="12">
        <v>5</v>
      </c>
      <c r="F66" s="8">
        <v>0.55000000000000004</v>
      </c>
      <c r="G66" s="12">
        <v>28</v>
      </c>
      <c r="H66" s="8">
        <v>1.93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58AC6-1BF7-4CD8-AAA6-87DE88293ECE}">
  <sheetPr>
    <pageSetUpPr fitToPage="1"/>
  </sheetPr>
  <dimension ref="A1:I1437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146</v>
      </c>
      <c r="B1" s="3" t="s">
        <v>147</v>
      </c>
      <c r="C1" s="7" t="s">
        <v>77</v>
      </c>
      <c r="D1" s="7" t="s">
        <v>78</v>
      </c>
      <c r="E1" s="7" t="s">
        <v>79</v>
      </c>
      <c r="F1" s="7" t="s">
        <v>80</v>
      </c>
      <c r="G1" s="7" t="s">
        <v>81</v>
      </c>
      <c r="H1" s="7" t="s">
        <v>82</v>
      </c>
      <c r="I1" s="7" t="s">
        <v>83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98</v>
      </c>
      <c r="C3" s="4">
        <v>11019</v>
      </c>
      <c r="D3" s="8">
        <v>10.96</v>
      </c>
      <c r="E3" s="4">
        <v>8895</v>
      </c>
      <c r="F3" s="8">
        <v>20.91</v>
      </c>
      <c r="G3" s="4">
        <v>2120</v>
      </c>
      <c r="H3" s="8">
        <v>3.69</v>
      </c>
      <c r="I3" s="4">
        <v>3</v>
      </c>
    </row>
    <row r="4" spans="1:9" x14ac:dyDescent="0.2">
      <c r="A4" s="2">
        <v>2</v>
      </c>
      <c r="B4" s="1" t="s">
        <v>97</v>
      </c>
      <c r="C4" s="4">
        <v>9839</v>
      </c>
      <c r="D4" s="8">
        <v>9.7899999999999991</v>
      </c>
      <c r="E4" s="4">
        <v>8053</v>
      </c>
      <c r="F4" s="8">
        <v>18.93</v>
      </c>
      <c r="G4" s="4">
        <v>1785</v>
      </c>
      <c r="H4" s="8">
        <v>3.11</v>
      </c>
      <c r="I4" s="4">
        <v>1</v>
      </c>
    </row>
    <row r="5" spans="1:9" x14ac:dyDescent="0.2">
      <c r="A5" s="2">
        <v>3</v>
      </c>
      <c r="B5" s="1" t="s">
        <v>94</v>
      </c>
      <c r="C5" s="4">
        <v>7868</v>
      </c>
      <c r="D5" s="8">
        <v>7.83</v>
      </c>
      <c r="E5" s="4">
        <v>2267</v>
      </c>
      <c r="F5" s="8">
        <v>5.33</v>
      </c>
      <c r="G5" s="4">
        <v>5579</v>
      </c>
      <c r="H5" s="8">
        <v>9.7200000000000006</v>
      </c>
      <c r="I5" s="4">
        <v>11</v>
      </c>
    </row>
    <row r="6" spans="1:9" x14ac:dyDescent="0.2">
      <c r="A6" s="2">
        <v>4</v>
      </c>
      <c r="B6" s="1" t="s">
        <v>84</v>
      </c>
      <c r="C6" s="4">
        <v>6270</v>
      </c>
      <c r="D6" s="8">
        <v>6.24</v>
      </c>
      <c r="E6" s="4">
        <v>1197</v>
      </c>
      <c r="F6" s="8">
        <v>2.81</v>
      </c>
      <c r="G6" s="4">
        <v>5072</v>
      </c>
      <c r="H6" s="8">
        <v>8.83</v>
      </c>
      <c r="I6" s="4">
        <v>1</v>
      </c>
    </row>
    <row r="7" spans="1:9" x14ac:dyDescent="0.2">
      <c r="A7" s="2">
        <v>5</v>
      </c>
      <c r="B7" s="1" t="s">
        <v>92</v>
      </c>
      <c r="C7" s="4">
        <v>5844</v>
      </c>
      <c r="D7" s="8">
        <v>5.81</v>
      </c>
      <c r="E7" s="4">
        <v>2473</v>
      </c>
      <c r="F7" s="8">
        <v>5.81</v>
      </c>
      <c r="G7" s="4">
        <v>3366</v>
      </c>
      <c r="H7" s="8">
        <v>5.86</v>
      </c>
      <c r="I7" s="4">
        <v>5</v>
      </c>
    </row>
    <row r="8" spans="1:9" x14ac:dyDescent="0.2">
      <c r="A8" s="2">
        <v>6</v>
      </c>
      <c r="B8" s="1" t="s">
        <v>85</v>
      </c>
      <c r="C8" s="4">
        <v>5553</v>
      </c>
      <c r="D8" s="8">
        <v>5.52</v>
      </c>
      <c r="E8" s="4">
        <v>1634</v>
      </c>
      <c r="F8" s="8">
        <v>3.84</v>
      </c>
      <c r="G8" s="4">
        <v>3919</v>
      </c>
      <c r="H8" s="8">
        <v>6.83</v>
      </c>
      <c r="I8" s="4">
        <v>0</v>
      </c>
    </row>
    <row r="9" spans="1:9" x14ac:dyDescent="0.2">
      <c r="A9" s="2">
        <v>7</v>
      </c>
      <c r="B9" s="1" t="s">
        <v>86</v>
      </c>
      <c r="C9" s="4">
        <v>4242</v>
      </c>
      <c r="D9" s="8">
        <v>4.22</v>
      </c>
      <c r="E9" s="4">
        <v>594</v>
      </c>
      <c r="F9" s="8">
        <v>1.4</v>
      </c>
      <c r="G9" s="4">
        <v>3648</v>
      </c>
      <c r="H9" s="8">
        <v>6.35</v>
      </c>
      <c r="I9" s="4">
        <v>0</v>
      </c>
    </row>
    <row r="10" spans="1:9" x14ac:dyDescent="0.2">
      <c r="A10" s="2">
        <v>8</v>
      </c>
      <c r="B10" s="1" t="s">
        <v>90</v>
      </c>
      <c r="C10" s="4">
        <v>4068</v>
      </c>
      <c r="D10" s="8">
        <v>4.05</v>
      </c>
      <c r="E10" s="4">
        <v>2510</v>
      </c>
      <c r="F10" s="8">
        <v>5.9</v>
      </c>
      <c r="G10" s="4">
        <v>1553</v>
      </c>
      <c r="H10" s="8">
        <v>2.7</v>
      </c>
      <c r="I10" s="4">
        <v>5</v>
      </c>
    </row>
    <row r="11" spans="1:9" x14ac:dyDescent="0.2">
      <c r="A11" s="2">
        <v>9</v>
      </c>
      <c r="B11" s="1" t="s">
        <v>101</v>
      </c>
      <c r="C11" s="4">
        <v>3982</v>
      </c>
      <c r="D11" s="8">
        <v>3.96</v>
      </c>
      <c r="E11" s="4">
        <v>3303</v>
      </c>
      <c r="F11" s="8">
        <v>7.76</v>
      </c>
      <c r="G11" s="4">
        <v>677</v>
      </c>
      <c r="H11" s="8">
        <v>1.18</v>
      </c>
      <c r="I11" s="4">
        <v>0</v>
      </c>
    </row>
    <row r="12" spans="1:9" x14ac:dyDescent="0.2">
      <c r="A12" s="2">
        <v>10</v>
      </c>
      <c r="B12" s="1" t="s">
        <v>100</v>
      </c>
      <c r="C12" s="4">
        <v>3718</v>
      </c>
      <c r="D12" s="8">
        <v>3.7</v>
      </c>
      <c r="E12" s="4">
        <v>2260</v>
      </c>
      <c r="F12" s="8">
        <v>5.31</v>
      </c>
      <c r="G12" s="4">
        <v>1304</v>
      </c>
      <c r="H12" s="8">
        <v>2.27</v>
      </c>
      <c r="I12" s="4">
        <v>6</v>
      </c>
    </row>
    <row r="13" spans="1:9" x14ac:dyDescent="0.2">
      <c r="A13" s="2">
        <v>11</v>
      </c>
      <c r="B13" s="1" t="s">
        <v>95</v>
      </c>
      <c r="C13" s="4">
        <v>3099</v>
      </c>
      <c r="D13" s="8">
        <v>3.08</v>
      </c>
      <c r="E13" s="4">
        <v>1559</v>
      </c>
      <c r="F13" s="8">
        <v>3.66</v>
      </c>
      <c r="G13" s="4">
        <v>1539</v>
      </c>
      <c r="H13" s="8">
        <v>2.68</v>
      </c>
      <c r="I13" s="4">
        <v>1</v>
      </c>
    </row>
    <row r="14" spans="1:9" x14ac:dyDescent="0.2">
      <c r="A14" s="2">
        <v>12</v>
      </c>
      <c r="B14" s="1" t="s">
        <v>91</v>
      </c>
      <c r="C14" s="4">
        <v>2687</v>
      </c>
      <c r="D14" s="8">
        <v>2.67</v>
      </c>
      <c r="E14" s="4">
        <v>1129</v>
      </c>
      <c r="F14" s="8">
        <v>2.65</v>
      </c>
      <c r="G14" s="4">
        <v>1558</v>
      </c>
      <c r="H14" s="8">
        <v>2.71</v>
      </c>
      <c r="I14" s="4">
        <v>0</v>
      </c>
    </row>
    <row r="15" spans="1:9" x14ac:dyDescent="0.2">
      <c r="A15" s="2">
        <v>13</v>
      </c>
      <c r="B15" s="1" t="s">
        <v>96</v>
      </c>
      <c r="C15" s="4">
        <v>2271</v>
      </c>
      <c r="D15" s="8">
        <v>2.2599999999999998</v>
      </c>
      <c r="E15" s="4">
        <v>614</v>
      </c>
      <c r="F15" s="8">
        <v>1.44</v>
      </c>
      <c r="G15" s="4">
        <v>1637</v>
      </c>
      <c r="H15" s="8">
        <v>2.85</v>
      </c>
      <c r="I15" s="4">
        <v>4</v>
      </c>
    </row>
    <row r="16" spans="1:9" x14ac:dyDescent="0.2">
      <c r="A16" s="2">
        <v>14</v>
      </c>
      <c r="B16" s="1" t="s">
        <v>89</v>
      </c>
      <c r="C16" s="4">
        <v>2240</v>
      </c>
      <c r="D16" s="8">
        <v>2.23</v>
      </c>
      <c r="E16" s="4">
        <v>774</v>
      </c>
      <c r="F16" s="8">
        <v>1.82</v>
      </c>
      <c r="G16" s="4">
        <v>1462</v>
      </c>
      <c r="H16" s="8">
        <v>2.5499999999999998</v>
      </c>
      <c r="I16" s="4">
        <v>4</v>
      </c>
    </row>
    <row r="17" spans="1:9" x14ac:dyDescent="0.2">
      <c r="A17" s="2">
        <v>15</v>
      </c>
      <c r="B17" s="1" t="s">
        <v>93</v>
      </c>
      <c r="C17" s="4">
        <v>1849</v>
      </c>
      <c r="D17" s="8">
        <v>1.84</v>
      </c>
      <c r="E17" s="4">
        <v>79</v>
      </c>
      <c r="F17" s="8">
        <v>0.19</v>
      </c>
      <c r="G17" s="4">
        <v>1769</v>
      </c>
      <c r="H17" s="8">
        <v>3.08</v>
      </c>
      <c r="I17" s="4">
        <v>1</v>
      </c>
    </row>
    <row r="18" spans="1:9" x14ac:dyDescent="0.2">
      <c r="A18" s="2">
        <v>16</v>
      </c>
      <c r="B18" s="1" t="s">
        <v>103</v>
      </c>
      <c r="C18" s="4">
        <v>1558</v>
      </c>
      <c r="D18" s="8">
        <v>1.55</v>
      </c>
      <c r="E18" s="4">
        <v>894</v>
      </c>
      <c r="F18" s="8">
        <v>2.1</v>
      </c>
      <c r="G18" s="4">
        <v>664</v>
      </c>
      <c r="H18" s="8">
        <v>1.1599999999999999</v>
      </c>
      <c r="I18" s="4">
        <v>0</v>
      </c>
    </row>
    <row r="19" spans="1:9" x14ac:dyDescent="0.2">
      <c r="A19" s="2">
        <v>17</v>
      </c>
      <c r="B19" s="1" t="s">
        <v>99</v>
      </c>
      <c r="C19" s="4">
        <v>1483</v>
      </c>
      <c r="D19" s="8">
        <v>1.47</v>
      </c>
      <c r="E19" s="4">
        <v>554</v>
      </c>
      <c r="F19" s="8">
        <v>1.3</v>
      </c>
      <c r="G19" s="4">
        <v>866</v>
      </c>
      <c r="H19" s="8">
        <v>1.51</v>
      </c>
      <c r="I19" s="4">
        <v>3</v>
      </c>
    </row>
    <row r="20" spans="1:9" x14ac:dyDescent="0.2">
      <c r="A20" s="2">
        <v>18</v>
      </c>
      <c r="B20" s="1" t="s">
        <v>87</v>
      </c>
      <c r="C20" s="4">
        <v>1447</v>
      </c>
      <c r="D20" s="8">
        <v>1.44</v>
      </c>
      <c r="E20" s="4">
        <v>165</v>
      </c>
      <c r="F20" s="8">
        <v>0.39</v>
      </c>
      <c r="G20" s="4">
        <v>1282</v>
      </c>
      <c r="H20" s="8">
        <v>2.23</v>
      </c>
      <c r="I20" s="4">
        <v>0</v>
      </c>
    </row>
    <row r="21" spans="1:9" x14ac:dyDescent="0.2">
      <c r="A21" s="2">
        <v>19</v>
      </c>
      <c r="B21" s="1" t="s">
        <v>102</v>
      </c>
      <c r="C21" s="4">
        <v>1442</v>
      </c>
      <c r="D21" s="8">
        <v>1.43</v>
      </c>
      <c r="E21" s="4">
        <v>22</v>
      </c>
      <c r="F21" s="8">
        <v>0.05</v>
      </c>
      <c r="G21" s="4">
        <v>1299</v>
      </c>
      <c r="H21" s="8">
        <v>2.2599999999999998</v>
      </c>
      <c r="I21" s="4">
        <v>5</v>
      </c>
    </row>
    <row r="22" spans="1:9" x14ac:dyDescent="0.2">
      <c r="A22" s="2">
        <v>20</v>
      </c>
      <c r="B22" s="1" t="s">
        <v>88</v>
      </c>
      <c r="C22" s="4">
        <v>1340</v>
      </c>
      <c r="D22" s="8">
        <v>1.33</v>
      </c>
      <c r="E22" s="4">
        <v>74</v>
      </c>
      <c r="F22" s="8">
        <v>0.17</v>
      </c>
      <c r="G22" s="4">
        <v>1266</v>
      </c>
      <c r="H22" s="8">
        <v>2.21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98</v>
      </c>
      <c r="C25" s="4">
        <v>1439</v>
      </c>
      <c r="D25" s="8">
        <v>10.87</v>
      </c>
      <c r="E25" s="4">
        <v>1063</v>
      </c>
      <c r="F25" s="8">
        <v>24.44</v>
      </c>
      <c r="G25" s="4">
        <v>376</v>
      </c>
      <c r="H25" s="8">
        <v>4.24</v>
      </c>
      <c r="I25" s="4">
        <v>0</v>
      </c>
    </row>
    <row r="26" spans="1:9" x14ac:dyDescent="0.2">
      <c r="A26" s="2">
        <v>2</v>
      </c>
      <c r="B26" s="1" t="s">
        <v>94</v>
      </c>
      <c r="C26" s="4">
        <v>1300</v>
      </c>
      <c r="D26" s="8">
        <v>9.82</v>
      </c>
      <c r="E26" s="4">
        <v>397</v>
      </c>
      <c r="F26" s="8">
        <v>9.1300000000000008</v>
      </c>
      <c r="G26" s="4">
        <v>901</v>
      </c>
      <c r="H26" s="8">
        <v>10.16</v>
      </c>
      <c r="I26" s="4">
        <v>2</v>
      </c>
    </row>
    <row r="27" spans="1:9" x14ac:dyDescent="0.2">
      <c r="A27" s="2">
        <v>3</v>
      </c>
      <c r="B27" s="1" t="s">
        <v>97</v>
      </c>
      <c r="C27" s="4">
        <v>999</v>
      </c>
      <c r="D27" s="8">
        <v>7.55</v>
      </c>
      <c r="E27" s="4">
        <v>713</v>
      </c>
      <c r="F27" s="8">
        <v>16.39</v>
      </c>
      <c r="G27" s="4">
        <v>286</v>
      </c>
      <c r="H27" s="8">
        <v>3.22</v>
      </c>
      <c r="I27" s="4">
        <v>0</v>
      </c>
    </row>
    <row r="28" spans="1:9" x14ac:dyDescent="0.2">
      <c r="A28" s="2">
        <v>4</v>
      </c>
      <c r="B28" s="1" t="s">
        <v>84</v>
      </c>
      <c r="C28" s="4">
        <v>773</v>
      </c>
      <c r="D28" s="8">
        <v>5.84</v>
      </c>
      <c r="E28" s="4">
        <v>28</v>
      </c>
      <c r="F28" s="8">
        <v>0.64</v>
      </c>
      <c r="G28" s="4">
        <v>745</v>
      </c>
      <c r="H28" s="8">
        <v>8.4</v>
      </c>
      <c r="I28" s="4">
        <v>0</v>
      </c>
    </row>
    <row r="29" spans="1:9" x14ac:dyDescent="0.2">
      <c r="A29" s="2">
        <v>5</v>
      </c>
      <c r="B29" s="1" t="s">
        <v>92</v>
      </c>
      <c r="C29" s="4">
        <v>721</v>
      </c>
      <c r="D29" s="8">
        <v>5.45</v>
      </c>
      <c r="E29" s="4">
        <v>241</v>
      </c>
      <c r="F29" s="8">
        <v>5.54</v>
      </c>
      <c r="G29" s="4">
        <v>478</v>
      </c>
      <c r="H29" s="8">
        <v>5.39</v>
      </c>
      <c r="I29" s="4">
        <v>2</v>
      </c>
    </row>
    <row r="30" spans="1:9" x14ac:dyDescent="0.2">
      <c r="A30" s="2">
        <v>6</v>
      </c>
      <c r="B30" s="1" t="s">
        <v>85</v>
      </c>
      <c r="C30" s="4">
        <v>678</v>
      </c>
      <c r="D30" s="8">
        <v>5.12</v>
      </c>
      <c r="E30" s="4">
        <v>77</v>
      </c>
      <c r="F30" s="8">
        <v>1.77</v>
      </c>
      <c r="G30" s="4">
        <v>601</v>
      </c>
      <c r="H30" s="8">
        <v>6.77</v>
      </c>
      <c r="I30" s="4">
        <v>0</v>
      </c>
    </row>
    <row r="31" spans="1:9" x14ac:dyDescent="0.2">
      <c r="A31" s="2">
        <v>7</v>
      </c>
      <c r="B31" s="1" t="s">
        <v>86</v>
      </c>
      <c r="C31" s="4">
        <v>636</v>
      </c>
      <c r="D31" s="8">
        <v>4.8</v>
      </c>
      <c r="E31" s="4">
        <v>32</v>
      </c>
      <c r="F31" s="8">
        <v>0.74</v>
      </c>
      <c r="G31" s="4">
        <v>604</v>
      </c>
      <c r="H31" s="8">
        <v>6.81</v>
      </c>
      <c r="I31" s="4">
        <v>0</v>
      </c>
    </row>
    <row r="32" spans="1:9" x14ac:dyDescent="0.2">
      <c r="A32" s="2">
        <v>8</v>
      </c>
      <c r="B32" s="1" t="s">
        <v>95</v>
      </c>
      <c r="C32" s="4">
        <v>565</v>
      </c>
      <c r="D32" s="8">
        <v>4.2699999999999996</v>
      </c>
      <c r="E32" s="4">
        <v>305</v>
      </c>
      <c r="F32" s="8">
        <v>7.01</v>
      </c>
      <c r="G32" s="4">
        <v>259</v>
      </c>
      <c r="H32" s="8">
        <v>2.92</v>
      </c>
      <c r="I32" s="4">
        <v>1</v>
      </c>
    </row>
    <row r="33" spans="1:9" x14ac:dyDescent="0.2">
      <c r="A33" s="2">
        <v>9</v>
      </c>
      <c r="B33" s="1" t="s">
        <v>101</v>
      </c>
      <c r="C33" s="4">
        <v>558</v>
      </c>
      <c r="D33" s="8">
        <v>4.22</v>
      </c>
      <c r="E33" s="4">
        <v>464</v>
      </c>
      <c r="F33" s="8">
        <v>10.67</v>
      </c>
      <c r="G33" s="4">
        <v>94</v>
      </c>
      <c r="H33" s="8">
        <v>1.06</v>
      </c>
      <c r="I33" s="4">
        <v>0</v>
      </c>
    </row>
    <row r="34" spans="1:9" x14ac:dyDescent="0.2">
      <c r="A34" s="2">
        <v>10</v>
      </c>
      <c r="B34" s="1" t="s">
        <v>100</v>
      </c>
      <c r="C34" s="4">
        <v>454</v>
      </c>
      <c r="D34" s="8">
        <v>3.43</v>
      </c>
      <c r="E34" s="4">
        <v>244</v>
      </c>
      <c r="F34" s="8">
        <v>5.61</v>
      </c>
      <c r="G34" s="4">
        <v>207</v>
      </c>
      <c r="H34" s="8">
        <v>2.33</v>
      </c>
      <c r="I34" s="4">
        <v>2</v>
      </c>
    </row>
    <row r="35" spans="1:9" x14ac:dyDescent="0.2">
      <c r="A35" s="2">
        <v>11</v>
      </c>
      <c r="B35" s="1" t="s">
        <v>90</v>
      </c>
      <c r="C35" s="4">
        <v>414</v>
      </c>
      <c r="D35" s="8">
        <v>3.13</v>
      </c>
      <c r="E35" s="4">
        <v>202</v>
      </c>
      <c r="F35" s="8">
        <v>4.6399999999999997</v>
      </c>
      <c r="G35" s="4">
        <v>212</v>
      </c>
      <c r="H35" s="8">
        <v>2.39</v>
      </c>
      <c r="I35" s="4">
        <v>0</v>
      </c>
    </row>
    <row r="36" spans="1:9" x14ac:dyDescent="0.2">
      <c r="A36" s="2">
        <v>12</v>
      </c>
      <c r="B36" s="1" t="s">
        <v>96</v>
      </c>
      <c r="C36" s="4">
        <v>401</v>
      </c>
      <c r="D36" s="8">
        <v>3.03</v>
      </c>
      <c r="E36" s="4">
        <v>64</v>
      </c>
      <c r="F36" s="8">
        <v>1.47</v>
      </c>
      <c r="G36" s="4">
        <v>336</v>
      </c>
      <c r="H36" s="8">
        <v>3.79</v>
      </c>
      <c r="I36" s="4">
        <v>0</v>
      </c>
    </row>
    <row r="37" spans="1:9" x14ac:dyDescent="0.2">
      <c r="A37" s="2">
        <v>13</v>
      </c>
      <c r="B37" s="1" t="s">
        <v>91</v>
      </c>
      <c r="C37" s="4">
        <v>302</v>
      </c>
      <c r="D37" s="8">
        <v>2.2799999999999998</v>
      </c>
      <c r="E37" s="4">
        <v>84</v>
      </c>
      <c r="F37" s="8">
        <v>1.93</v>
      </c>
      <c r="G37" s="4">
        <v>218</v>
      </c>
      <c r="H37" s="8">
        <v>2.46</v>
      </c>
      <c r="I37" s="4">
        <v>0</v>
      </c>
    </row>
    <row r="38" spans="1:9" x14ac:dyDescent="0.2">
      <c r="A38" s="2">
        <v>14</v>
      </c>
      <c r="B38" s="1" t="s">
        <v>89</v>
      </c>
      <c r="C38" s="4">
        <v>293</v>
      </c>
      <c r="D38" s="8">
        <v>2.21</v>
      </c>
      <c r="E38" s="4">
        <v>68</v>
      </c>
      <c r="F38" s="8">
        <v>1.56</v>
      </c>
      <c r="G38" s="4">
        <v>225</v>
      </c>
      <c r="H38" s="8">
        <v>2.54</v>
      </c>
      <c r="I38" s="4">
        <v>0</v>
      </c>
    </row>
    <row r="39" spans="1:9" x14ac:dyDescent="0.2">
      <c r="A39" s="2">
        <v>15</v>
      </c>
      <c r="B39" s="1" t="s">
        <v>93</v>
      </c>
      <c r="C39" s="4">
        <v>268</v>
      </c>
      <c r="D39" s="8">
        <v>2.02</v>
      </c>
      <c r="E39" s="4">
        <v>6</v>
      </c>
      <c r="F39" s="8">
        <v>0.14000000000000001</v>
      </c>
      <c r="G39" s="4">
        <v>262</v>
      </c>
      <c r="H39" s="8">
        <v>2.95</v>
      </c>
      <c r="I39" s="4">
        <v>0</v>
      </c>
    </row>
    <row r="40" spans="1:9" x14ac:dyDescent="0.2">
      <c r="A40" s="2">
        <v>16</v>
      </c>
      <c r="B40" s="1" t="s">
        <v>88</v>
      </c>
      <c r="C40" s="4">
        <v>257</v>
      </c>
      <c r="D40" s="8">
        <v>1.94</v>
      </c>
      <c r="E40" s="4">
        <v>3</v>
      </c>
      <c r="F40" s="8">
        <v>7.0000000000000007E-2</v>
      </c>
      <c r="G40" s="4">
        <v>254</v>
      </c>
      <c r="H40" s="8">
        <v>2.86</v>
      </c>
      <c r="I40" s="4">
        <v>0</v>
      </c>
    </row>
    <row r="41" spans="1:9" x14ac:dyDescent="0.2">
      <c r="A41" s="2">
        <v>17</v>
      </c>
      <c r="B41" s="1" t="s">
        <v>102</v>
      </c>
      <c r="C41" s="4">
        <v>211</v>
      </c>
      <c r="D41" s="8">
        <v>1.59</v>
      </c>
      <c r="E41" s="4">
        <v>8</v>
      </c>
      <c r="F41" s="8">
        <v>0.18</v>
      </c>
      <c r="G41" s="4">
        <v>202</v>
      </c>
      <c r="H41" s="8">
        <v>2.2799999999999998</v>
      </c>
      <c r="I41" s="4">
        <v>1</v>
      </c>
    </row>
    <row r="42" spans="1:9" x14ac:dyDescent="0.2">
      <c r="A42" s="2">
        <v>18</v>
      </c>
      <c r="B42" s="1" t="s">
        <v>104</v>
      </c>
      <c r="C42" s="4">
        <v>207</v>
      </c>
      <c r="D42" s="8">
        <v>1.56</v>
      </c>
      <c r="E42" s="4">
        <v>13</v>
      </c>
      <c r="F42" s="8">
        <v>0.3</v>
      </c>
      <c r="G42" s="4">
        <v>194</v>
      </c>
      <c r="H42" s="8">
        <v>2.19</v>
      </c>
      <c r="I42" s="4">
        <v>0</v>
      </c>
    </row>
    <row r="43" spans="1:9" x14ac:dyDescent="0.2">
      <c r="A43" s="2">
        <v>18</v>
      </c>
      <c r="B43" s="1" t="s">
        <v>105</v>
      </c>
      <c r="C43" s="4">
        <v>207</v>
      </c>
      <c r="D43" s="8">
        <v>1.56</v>
      </c>
      <c r="E43" s="4">
        <v>8</v>
      </c>
      <c r="F43" s="8">
        <v>0.18</v>
      </c>
      <c r="G43" s="4">
        <v>196</v>
      </c>
      <c r="H43" s="8">
        <v>2.21</v>
      </c>
      <c r="I43" s="4">
        <v>3</v>
      </c>
    </row>
    <row r="44" spans="1:9" x14ac:dyDescent="0.2">
      <c r="A44" s="2">
        <v>20</v>
      </c>
      <c r="B44" s="1" t="s">
        <v>87</v>
      </c>
      <c r="C44" s="4">
        <v>206</v>
      </c>
      <c r="D44" s="8">
        <v>1.56</v>
      </c>
      <c r="E44" s="4">
        <v>9</v>
      </c>
      <c r="F44" s="8">
        <v>0.21</v>
      </c>
      <c r="G44" s="4">
        <v>197</v>
      </c>
      <c r="H44" s="8">
        <v>2.2200000000000002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94</v>
      </c>
      <c r="C47" s="4">
        <v>527</v>
      </c>
      <c r="D47" s="8">
        <v>11.36</v>
      </c>
      <c r="E47" s="4">
        <v>204</v>
      </c>
      <c r="F47" s="8">
        <v>12.63</v>
      </c>
      <c r="G47" s="4">
        <v>322</v>
      </c>
      <c r="H47" s="8">
        <v>10.68</v>
      </c>
      <c r="I47" s="4">
        <v>1</v>
      </c>
    </row>
    <row r="48" spans="1:9" x14ac:dyDescent="0.2">
      <c r="A48" s="2">
        <v>2</v>
      </c>
      <c r="B48" s="1" t="s">
        <v>98</v>
      </c>
      <c r="C48" s="4">
        <v>467</v>
      </c>
      <c r="D48" s="8">
        <v>10.07</v>
      </c>
      <c r="E48" s="4">
        <v>343</v>
      </c>
      <c r="F48" s="8">
        <v>21.24</v>
      </c>
      <c r="G48" s="4">
        <v>124</v>
      </c>
      <c r="H48" s="8">
        <v>4.1100000000000003</v>
      </c>
      <c r="I48" s="4">
        <v>0</v>
      </c>
    </row>
    <row r="49" spans="1:9" x14ac:dyDescent="0.2">
      <c r="A49" s="2">
        <v>3</v>
      </c>
      <c r="B49" s="1" t="s">
        <v>97</v>
      </c>
      <c r="C49" s="4">
        <v>443</v>
      </c>
      <c r="D49" s="8">
        <v>9.5500000000000007</v>
      </c>
      <c r="E49" s="4">
        <v>311</v>
      </c>
      <c r="F49" s="8">
        <v>19.260000000000002</v>
      </c>
      <c r="G49" s="4">
        <v>132</v>
      </c>
      <c r="H49" s="8">
        <v>4.38</v>
      </c>
      <c r="I49" s="4">
        <v>0</v>
      </c>
    </row>
    <row r="50" spans="1:9" x14ac:dyDescent="0.2">
      <c r="A50" s="2">
        <v>4</v>
      </c>
      <c r="B50" s="1" t="s">
        <v>95</v>
      </c>
      <c r="C50" s="4">
        <v>299</v>
      </c>
      <c r="D50" s="8">
        <v>6.45</v>
      </c>
      <c r="E50" s="4">
        <v>203</v>
      </c>
      <c r="F50" s="8">
        <v>12.57</v>
      </c>
      <c r="G50" s="4">
        <v>96</v>
      </c>
      <c r="H50" s="8">
        <v>3.18</v>
      </c>
      <c r="I50" s="4">
        <v>0</v>
      </c>
    </row>
    <row r="51" spans="1:9" x14ac:dyDescent="0.2">
      <c r="A51" s="2">
        <v>5</v>
      </c>
      <c r="B51" s="1" t="s">
        <v>92</v>
      </c>
      <c r="C51" s="4">
        <v>272</v>
      </c>
      <c r="D51" s="8">
        <v>5.86</v>
      </c>
      <c r="E51" s="4">
        <v>86</v>
      </c>
      <c r="F51" s="8">
        <v>5.33</v>
      </c>
      <c r="G51" s="4">
        <v>185</v>
      </c>
      <c r="H51" s="8">
        <v>6.14</v>
      </c>
      <c r="I51" s="4">
        <v>1</v>
      </c>
    </row>
    <row r="52" spans="1:9" x14ac:dyDescent="0.2">
      <c r="A52" s="2">
        <v>6</v>
      </c>
      <c r="B52" s="1" t="s">
        <v>84</v>
      </c>
      <c r="C52" s="4">
        <v>231</v>
      </c>
      <c r="D52" s="8">
        <v>4.9800000000000004</v>
      </c>
      <c r="E52" s="4">
        <v>4</v>
      </c>
      <c r="F52" s="8">
        <v>0.25</v>
      </c>
      <c r="G52" s="4">
        <v>227</v>
      </c>
      <c r="H52" s="8">
        <v>7.53</v>
      </c>
      <c r="I52" s="4">
        <v>0</v>
      </c>
    </row>
    <row r="53" spans="1:9" x14ac:dyDescent="0.2">
      <c r="A53" s="2">
        <v>7</v>
      </c>
      <c r="B53" s="1" t="s">
        <v>96</v>
      </c>
      <c r="C53" s="4">
        <v>181</v>
      </c>
      <c r="D53" s="8">
        <v>3.9</v>
      </c>
      <c r="E53" s="4">
        <v>25</v>
      </c>
      <c r="F53" s="8">
        <v>1.55</v>
      </c>
      <c r="G53" s="4">
        <v>155</v>
      </c>
      <c r="H53" s="8">
        <v>5.14</v>
      </c>
      <c r="I53" s="4">
        <v>0</v>
      </c>
    </row>
    <row r="54" spans="1:9" x14ac:dyDescent="0.2">
      <c r="A54" s="2">
        <v>8</v>
      </c>
      <c r="B54" s="1" t="s">
        <v>86</v>
      </c>
      <c r="C54" s="4">
        <v>179</v>
      </c>
      <c r="D54" s="8">
        <v>3.86</v>
      </c>
      <c r="E54" s="4">
        <v>5</v>
      </c>
      <c r="F54" s="8">
        <v>0.31</v>
      </c>
      <c r="G54" s="4">
        <v>174</v>
      </c>
      <c r="H54" s="8">
        <v>5.77</v>
      </c>
      <c r="I54" s="4">
        <v>0</v>
      </c>
    </row>
    <row r="55" spans="1:9" x14ac:dyDescent="0.2">
      <c r="A55" s="2">
        <v>9</v>
      </c>
      <c r="B55" s="1" t="s">
        <v>85</v>
      </c>
      <c r="C55" s="4">
        <v>170</v>
      </c>
      <c r="D55" s="8">
        <v>3.66</v>
      </c>
      <c r="E55" s="4">
        <v>16</v>
      </c>
      <c r="F55" s="8">
        <v>0.99</v>
      </c>
      <c r="G55" s="4">
        <v>154</v>
      </c>
      <c r="H55" s="8">
        <v>5.1100000000000003</v>
      </c>
      <c r="I55" s="4">
        <v>0</v>
      </c>
    </row>
    <row r="56" spans="1:9" x14ac:dyDescent="0.2">
      <c r="A56" s="2">
        <v>9</v>
      </c>
      <c r="B56" s="1" t="s">
        <v>101</v>
      </c>
      <c r="C56" s="4">
        <v>170</v>
      </c>
      <c r="D56" s="8">
        <v>3.66</v>
      </c>
      <c r="E56" s="4">
        <v>143</v>
      </c>
      <c r="F56" s="8">
        <v>8.85</v>
      </c>
      <c r="G56" s="4">
        <v>27</v>
      </c>
      <c r="H56" s="8">
        <v>0.9</v>
      </c>
      <c r="I56" s="4">
        <v>0</v>
      </c>
    </row>
    <row r="57" spans="1:9" x14ac:dyDescent="0.2">
      <c r="A57" s="2">
        <v>11</v>
      </c>
      <c r="B57" s="1" t="s">
        <v>90</v>
      </c>
      <c r="C57" s="4">
        <v>147</v>
      </c>
      <c r="D57" s="8">
        <v>3.17</v>
      </c>
      <c r="E57" s="4">
        <v>60</v>
      </c>
      <c r="F57" s="8">
        <v>3.72</v>
      </c>
      <c r="G57" s="4">
        <v>87</v>
      </c>
      <c r="H57" s="8">
        <v>2.89</v>
      </c>
      <c r="I57" s="4">
        <v>0</v>
      </c>
    </row>
    <row r="58" spans="1:9" x14ac:dyDescent="0.2">
      <c r="A58" s="2">
        <v>12</v>
      </c>
      <c r="B58" s="1" t="s">
        <v>100</v>
      </c>
      <c r="C58" s="4">
        <v>130</v>
      </c>
      <c r="D58" s="8">
        <v>2.8</v>
      </c>
      <c r="E58" s="4">
        <v>73</v>
      </c>
      <c r="F58" s="8">
        <v>4.5199999999999996</v>
      </c>
      <c r="G58" s="4">
        <v>56</v>
      </c>
      <c r="H58" s="8">
        <v>1.86</v>
      </c>
      <c r="I58" s="4">
        <v>1</v>
      </c>
    </row>
    <row r="59" spans="1:9" x14ac:dyDescent="0.2">
      <c r="A59" s="2">
        <v>13</v>
      </c>
      <c r="B59" s="1" t="s">
        <v>89</v>
      </c>
      <c r="C59" s="4">
        <v>117</v>
      </c>
      <c r="D59" s="8">
        <v>2.52</v>
      </c>
      <c r="E59" s="4">
        <v>23</v>
      </c>
      <c r="F59" s="8">
        <v>1.42</v>
      </c>
      <c r="G59" s="4">
        <v>94</v>
      </c>
      <c r="H59" s="8">
        <v>3.12</v>
      </c>
      <c r="I59" s="4">
        <v>0</v>
      </c>
    </row>
    <row r="60" spans="1:9" x14ac:dyDescent="0.2">
      <c r="A60" s="2">
        <v>14</v>
      </c>
      <c r="B60" s="1" t="s">
        <v>93</v>
      </c>
      <c r="C60" s="4">
        <v>109</v>
      </c>
      <c r="D60" s="8">
        <v>2.35</v>
      </c>
      <c r="E60" s="4">
        <v>0</v>
      </c>
      <c r="F60" s="8">
        <v>0</v>
      </c>
      <c r="G60" s="4">
        <v>109</v>
      </c>
      <c r="H60" s="8">
        <v>3.62</v>
      </c>
      <c r="I60" s="4">
        <v>0</v>
      </c>
    </row>
    <row r="61" spans="1:9" x14ac:dyDescent="0.2">
      <c r="A61" s="2">
        <v>15</v>
      </c>
      <c r="B61" s="1" t="s">
        <v>88</v>
      </c>
      <c r="C61" s="4">
        <v>97</v>
      </c>
      <c r="D61" s="8">
        <v>2.09</v>
      </c>
      <c r="E61" s="4">
        <v>0</v>
      </c>
      <c r="F61" s="8">
        <v>0</v>
      </c>
      <c r="G61" s="4">
        <v>97</v>
      </c>
      <c r="H61" s="8">
        <v>3.22</v>
      </c>
      <c r="I61" s="4">
        <v>0</v>
      </c>
    </row>
    <row r="62" spans="1:9" x14ac:dyDescent="0.2">
      <c r="A62" s="2">
        <v>16</v>
      </c>
      <c r="B62" s="1" t="s">
        <v>91</v>
      </c>
      <c r="C62" s="4">
        <v>77</v>
      </c>
      <c r="D62" s="8">
        <v>1.66</v>
      </c>
      <c r="E62" s="4">
        <v>25</v>
      </c>
      <c r="F62" s="8">
        <v>1.55</v>
      </c>
      <c r="G62" s="4">
        <v>52</v>
      </c>
      <c r="H62" s="8">
        <v>1.72</v>
      </c>
      <c r="I62" s="4">
        <v>0</v>
      </c>
    </row>
    <row r="63" spans="1:9" x14ac:dyDescent="0.2">
      <c r="A63" s="2">
        <v>16</v>
      </c>
      <c r="B63" s="1" t="s">
        <v>105</v>
      </c>
      <c r="C63" s="4">
        <v>77</v>
      </c>
      <c r="D63" s="8">
        <v>1.66</v>
      </c>
      <c r="E63" s="4">
        <v>1</v>
      </c>
      <c r="F63" s="8">
        <v>0.06</v>
      </c>
      <c r="G63" s="4">
        <v>74</v>
      </c>
      <c r="H63" s="8">
        <v>2.4500000000000002</v>
      </c>
      <c r="I63" s="4">
        <v>2</v>
      </c>
    </row>
    <row r="64" spans="1:9" x14ac:dyDescent="0.2">
      <c r="A64" s="2">
        <v>18</v>
      </c>
      <c r="B64" s="1" t="s">
        <v>104</v>
      </c>
      <c r="C64" s="4">
        <v>73</v>
      </c>
      <c r="D64" s="8">
        <v>1.57</v>
      </c>
      <c r="E64" s="4">
        <v>2</v>
      </c>
      <c r="F64" s="8">
        <v>0.12</v>
      </c>
      <c r="G64" s="4">
        <v>71</v>
      </c>
      <c r="H64" s="8">
        <v>2.35</v>
      </c>
      <c r="I64" s="4">
        <v>0</v>
      </c>
    </row>
    <row r="65" spans="1:9" x14ac:dyDescent="0.2">
      <c r="A65" s="2">
        <v>19</v>
      </c>
      <c r="B65" s="1" t="s">
        <v>99</v>
      </c>
      <c r="C65" s="4">
        <v>70</v>
      </c>
      <c r="D65" s="8">
        <v>1.51</v>
      </c>
      <c r="E65" s="4">
        <v>21</v>
      </c>
      <c r="F65" s="8">
        <v>1.3</v>
      </c>
      <c r="G65" s="4">
        <v>49</v>
      </c>
      <c r="H65" s="8">
        <v>1.63</v>
      </c>
      <c r="I65" s="4">
        <v>0</v>
      </c>
    </row>
    <row r="66" spans="1:9" x14ac:dyDescent="0.2">
      <c r="A66" s="2">
        <v>20</v>
      </c>
      <c r="B66" s="1" t="s">
        <v>87</v>
      </c>
      <c r="C66" s="4">
        <v>68</v>
      </c>
      <c r="D66" s="8">
        <v>1.47</v>
      </c>
      <c r="E66" s="4">
        <v>2</v>
      </c>
      <c r="F66" s="8">
        <v>0.12</v>
      </c>
      <c r="G66" s="4">
        <v>66</v>
      </c>
      <c r="H66" s="8">
        <v>2.19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94</v>
      </c>
      <c r="C69" s="4">
        <v>235</v>
      </c>
      <c r="D69" s="8">
        <v>11.29</v>
      </c>
      <c r="E69" s="4">
        <v>85</v>
      </c>
      <c r="F69" s="8">
        <v>11.44</v>
      </c>
      <c r="G69" s="4">
        <v>150</v>
      </c>
      <c r="H69" s="8">
        <v>11.21</v>
      </c>
      <c r="I69" s="4">
        <v>0</v>
      </c>
    </row>
    <row r="70" spans="1:9" x14ac:dyDescent="0.2">
      <c r="A70" s="2">
        <v>2</v>
      </c>
      <c r="B70" s="1" t="s">
        <v>98</v>
      </c>
      <c r="C70" s="4">
        <v>231</v>
      </c>
      <c r="D70" s="8">
        <v>11.1</v>
      </c>
      <c r="E70" s="4">
        <v>180</v>
      </c>
      <c r="F70" s="8">
        <v>24.23</v>
      </c>
      <c r="G70" s="4">
        <v>51</v>
      </c>
      <c r="H70" s="8">
        <v>3.81</v>
      </c>
      <c r="I70" s="4">
        <v>0</v>
      </c>
    </row>
    <row r="71" spans="1:9" x14ac:dyDescent="0.2">
      <c r="A71" s="2">
        <v>3</v>
      </c>
      <c r="B71" s="1" t="s">
        <v>84</v>
      </c>
      <c r="C71" s="4">
        <v>147</v>
      </c>
      <c r="D71" s="8">
        <v>7.06</v>
      </c>
      <c r="E71" s="4">
        <v>7</v>
      </c>
      <c r="F71" s="8">
        <v>0.94</v>
      </c>
      <c r="G71" s="4">
        <v>140</v>
      </c>
      <c r="H71" s="8">
        <v>10.46</v>
      </c>
      <c r="I71" s="4">
        <v>0</v>
      </c>
    </row>
    <row r="72" spans="1:9" x14ac:dyDescent="0.2">
      <c r="A72" s="2">
        <v>4</v>
      </c>
      <c r="B72" s="1" t="s">
        <v>85</v>
      </c>
      <c r="C72" s="4">
        <v>133</v>
      </c>
      <c r="D72" s="8">
        <v>6.39</v>
      </c>
      <c r="E72" s="4">
        <v>17</v>
      </c>
      <c r="F72" s="8">
        <v>2.29</v>
      </c>
      <c r="G72" s="4">
        <v>116</v>
      </c>
      <c r="H72" s="8">
        <v>8.67</v>
      </c>
      <c r="I72" s="4">
        <v>0</v>
      </c>
    </row>
    <row r="73" spans="1:9" x14ac:dyDescent="0.2">
      <c r="A73" s="2">
        <v>5</v>
      </c>
      <c r="B73" s="1" t="s">
        <v>97</v>
      </c>
      <c r="C73" s="4">
        <v>130</v>
      </c>
      <c r="D73" s="8">
        <v>6.24</v>
      </c>
      <c r="E73" s="4">
        <v>102</v>
      </c>
      <c r="F73" s="8">
        <v>13.73</v>
      </c>
      <c r="G73" s="4">
        <v>28</v>
      </c>
      <c r="H73" s="8">
        <v>2.09</v>
      </c>
      <c r="I73" s="4">
        <v>0</v>
      </c>
    </row>
    <row r="74" spans="1:9" x14ac:dyDescent="0.2">
      <c r="A74" s="2">
        <v>6</v>
      </c>
      <c r="B74" s="1" t="s">
        <v>86</v>
      </c>
      <c r="C74" s="4">
        <v>114</v>
      </c>
      <c r="D74" s="8">
        <v>5.48</v>
      </c>
      <c r="E74" s="4">
        <v>10</v>
      </c>
      <c r="F74" s="8">
        <v>1.35</v>
      </c>
      <c r="G74" s="4">
        <v>104</v>
      </c>
      <c r="H74" s="8">
        <v>7.77</v>
      </c>
      <c r="I74" s="4">
        <v>0</v>
      </c>
    </row>
    <row r="75" spans="1:9" x14ac:dyDescent="0.2">
      <c r="A75" s="2">
        <v>7</v>
      </c>
      <c r="B75" s="1" t="s">
        <v>92</v>
      </c>
      <c r="C75" s="4">
        <v>95</v>
      </c>
      <c r="D75" s="8">
        <v>4.5599999999999996</v>
      </c>
      <c r="E75" s="4">
        <v>49</v>
      </c>
      <c r="F75" s="8">
        <v>6.59</v>
      </c>
      <c r="G75" s="4">
        <v>45</v>
      </c>
      <c r="H75" s="8">
        <v>3.36</v>
      </c>
      <c r="I75" s="4">
        <v>1</v>
      </c>
    </row>
    <row r="76" spans="1:9" x14ac:dyDescent="0.2">
      <c r="A76" s="2">
        <v>8</v>
      </c>
      <c r="B76" s="1" t="s">
        <v>101</v>
      </c>
      <c r="C76" s="4">
        <v>90</v>
      </c>
      <c r="D76" s="8">
        <v>4.32</v>
      </c>
      <c r="E76" s="4">
        <v>78</v>
      </c>
      <c r="F76" s="8">
        <v>10.5</v>
      </c>
      <c r="G76" s="4">
        <v>12</v>
      </c>
      <c r="H76" s="8">
        <v>0.9</v>
      </c>
      <c r="I76" s="4">
        <v>0</v>
      </c>
    </row>
    <row r="77" spans="1:9" x14ac:dyDescent="0.2">
      <c r="A77" s="2">
        <v>9</v>
      </c>
      <c r="B77" s="1" t="s">
        <v>90</v>
      </c>
      <c r="C77" s="4">
        <v>75</v>
      </c>
      <c r="D77" s="8">
        <v>3.6</v>
      </c>
      <c r="E77" s="4">
        <v>46</v>
      </c>
      <c r="F77" s="8">
        <v>6.19</v>
      </c>
      <c r="G77" s="4">
        <v>29</v>
      </c>
      <c r="H77" s="8">
        <v>2.17</v>
      </c>
      <c r="I77" s="4">
        <v>0</v>
      </c>
    </row>
    <row r="78" spans="1:9" x14ac:dyDescent="0.2">
      <c r="A78" s="2">
        <v>10</v>
      </c>
      <c r="B78" s="1" t="s">
        <v>100</v>
      </c>
      <c r="C78" s="4">
        <v>66</v>
      </c>
      <c r="D78" s="8">
        <v>3.17</v>
      </c>
      <c r="E78" s="4">
        <v>42</v>
      </c>
      <c r="F78" s="8">
        <v>5.65</v>
      </c>
      <c r="G78" s="4">
        <v>24</v>
      </c>
      <c r="H78" s="8">
        <v>1.79</v>
      </c>
      <c r="I78" s="4">
        <v>0</v>
      </c>
    </row>
    <row r="79" spans="1:9" x14ac:dyDescent="0.2">
      <c r="A79" s="2">
        <v>11</v>
      </c>
      <c r="B79" s="1" t="s">
        <v>91</v>
      </c>
      <c r="C79" s="4">
        <v>62</v>
      </c>
      <c r="D79" s="8">
        <v>2.98</v>
      </c>
      <c r="E79" s="4">
        <v>15</v>
      </c>
      <c r="F79" s="8">
        <v>2.02</v>
      </c>
      <c r="G79" s="4">
        <v>47</v>
      </c>
      <c r="H79" s="8">
        <v>3.51</v>
      </c>
      <c r="I79" s="4">
        <v>0</v>
      </c>
    </row>
    <row r="80" spans="1:9" x14ac:dyDescent="0.2">
      <c r="A80" s="2">
        <v>12</v>
      </c>
      <c r="B80" s="1" t="s">
        <v>95</v>
      </c>
      <c r="C80" s="4">
        <v>57</v>
      </c>
      <c r="D80" s="8">
        <v>2.74</v>
      </c>
      <c r="E80" s="4">
        <v>24</v>
      </c>
      <c r="F80" s="8">
        <v>3.23</v>
      </c>
      <c r="G80" s="4">
        <v>33</v>
      </c>
      <c r="H80" s="8">
        <v>2.4700000000000002</v>
      </c>
      <c r="I80" s="4">
        <v>0</v>
      </c>
    </row>
    <row r="81" spans="1:9" x14ac:dyDescent="0.2">
      <c r="A81" s="2">
        <v>13</v>
      </c>
      <c r="B81" s="1" t="s">
        <v>96</v>
      </c>
      <c r="C81" s="4">
        <v>43</v>
      </c>
      <c r="D81" s="8">
        <v>2.0699999999999998</v>
      </c>
      <c r="E81" s="4">
        <v>10</v>
      </c>
      <c r="F81" s="8">
        <v>1.35</v>
      </c>
      <c r="G81" s="4">
        <v>33</v>
      </c>
      <c r="H81" s="8">
        <v>2.4700000000000002</v>
      </c>
      <c r="I81" s="4">
        <v>0</v>
      </c>
    </row>
    <row r="82" spans="1:9" x14ac:dyDescent="0.2">
      <c r="A82" s="2">
        <v>13</v>
      </c>
      <c r="B82" s="1" t="s">
        <v>102</v>
      </c>
      <c r="C82" s="4">
        <v>43</v>
      </c>
      <c r="D82" s="8">
        <v>2.0699999999999998</v>
      </c>
      <c r="E82" s="4">
        <v>2</v>
      </c>
      <c r="F82" s="8">
        <v>0.27</v>
      </c>
      <c r="G82" s="4">
        <v>41</v>
      </c>
      <c r="H82" s="8">
        <v>3.06</v>
      </c>
      <c r="I82" s="4">
        <v>0</v>
      </c>
    </row>
    <row r="83" spans="1:9" x14ac:dyDescent="0.2">
      <c r="A83" s="2">
        <v>15</v>
      </c>
      <c r="B83" s="1" t="s">
        <v>88</v>
      </c>
      <c r="C83" s="4">
        <v>38</v>
      </c>
      <c r="D83" s="8">
        <v>1.83</v>
      </c>
      <c r="E83" s="4">
        <v>1</v>
      </c>
      <c r="F83" s="8">
        <v>0.13</v>
      </c>
      <c r="G83" s="4">
        <v>37</v>
      </c>
      <c r="H83" s="8">
        <v>2.77</v>
      </c>
      <c r="I83" s="4">
        <v>0</v>
      </c>
    </row>
    <row r="84" spans="1:9" x14ac:dyDescent="0.2">
      <c r="A84" s="2">
        <v>15</v>
      </c>
      <c r="B84" s="1" t="s">
        <v>93</v>
      </c>
      <c r="C84" s="4">
        <v>38</v>
      </c>
      <c r="D84" s="8">
        <v>1.83</v>
      </c>
      <c r="E84" s="4">
        <v>0</v>
      </c>
      <c r="F84" s="8">
        <v>0</v>
      </c>
      <c r="G84" s="4">
        <v>38</v>
      </c>
      <c r="H84" s="8">
        <v>2.84</v>
      </c>
      <c r="I84" s="4">
        <v>0</v>
      </c>
    </row>
    <row r="85" spans="1:9" x14ac:dyDescent="0.2">
      <c r="A85" s="2">
        <v>15</v>
      </c>
      <c r="B85" s="1" t="s">
        <v>103</v>
      </c>
      <c r="C85" s="4">
        <v>38</v>
      </c>
      <c r="D85" s="8">
        <v>1.83</v>
      </c>
      <c r="E85" s="4">
        <v>14</v>
      </c>
      <c r="F85" s="8">
        <v>1.88</v>
      </c>
      <c r="G85" s="4">
        <v>24</v>
      </c>
      <c r="H85" s="8">
        <v>1.79</v>
      </c>
      <c r="I85" s="4">
        <v>0</v>
      </c>
    </row>
    <row r="86" spans="1:9" x14ac:dyDescent="0.2">
      <c r="A86" s="2">
        <v>18</v>
      </c>
      <c r="B86" s="1" t="s">
        <v>106</v>
      </c>
      <c r="C86" s="4">
        <v>32</v>
      </c>
      <c r="D86" s="8">
        <v>1.54</v>
      </c>
      <c r="E86" s="4">
        <v>2</v>
      </c>
      <c r="F86" s="8">
        <v>0.27</v>
      </c>
      <c r="G86" s="4">
        <v>30</v>
      </c>
      <c r="H86" s="8">
        <v>2.2400000000000002</v>
      </c>
      <c r="I86" s="4">
        <v>0</v>
      </c>
    </row>
    <row r="87" spans="1:9" x14ac:dyDescent="0.2">
      <c r="A87" s="2">
        <v>18</v>
      </c>
      <c r="B87" s="1" t="s">
        <v>105</v>
      </c>
      <c r="C87" s="4">
        <v>32</v>
      </c>
      <c r="D87" s="8">
        <v>1.54</v>
      </c>
      <c r="E87" s="4">
        <v>2</v>
      </c>
      <c r="F87" s="8">
        <v>0.27</v>
      </c>
      <c r="G87" s="4">
        <v>30</v>
      </c>
      <c r="H87" s="8">
        <v>2.2400000000000002</v>
      </c>
      <c r="I87" s="4">
        <v>0</v>
      </c>
    </row>
    <row r="88" spans="1:9" x14ac:dyDescent="0.2">
      <c r="A88" s="2">
        <v>20</v>
      </c>
      <c r="B88" s="1" t="s">
        <v>87</v>
      </c>
      <c r="C88" s="4">
        <v>31</v>
      </c>
      <c r="D88" s="8">
        <v>1.49</v>
      </c>
      <c r="E88" s="4">
        <v>3</v>
      </c>
      <c r="F88" s="8">
        <v>0.4</v>
      </c>
      <c r="G88" s="4">
        <v>28</v>
      </c>
      <c r="H88" s="8">
        <v>2.09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94</v>
      </c>
      <c r="C91" s="4">
        <v>266</v>
      </c>
      <c r="D91" s="8">
        <v>13.03</v>
      </c>
      <c r="E91" s="4">
        <v>96</v>
      </c>
      <c r="F91" s="8">
        <v>13.6</v>
      </c>
      <c r="G91" s="4">
        <v>170</v>
      </c>
      <c r="H91" s="8">
        <v>12.72</v>
      </c>
      <c r="I91" s="4">
        <v>0</v>
      </c>
    </row>
    <row r="92" spans="1:9" x14ac:dyDescent="0.2">
      <c r="A92" s="2">
        <v>2</v>
      </c>
      <c r="B92" s="1" t="s">
        <v>98</v>
      </c>
      <c r="C92" s="4">
        <v>215</v>
      </c>
      <c r="D92" s="8">
        <v>10.53</v>
      </c>
      <c r="E92" s="4">
        <v>154</v>
      </c>
      <c r="F92" s="8">
        <v>21.81</v>
      </c>
      <c r="G92" s="4">
        <v>61</v>
      </c>
      <c r="H92" s="8">
        <v>4.57</v>
      </c>
      <c r="I92" s="4">
        <v>0</v>
      </c>
    </row>
    <row r="93" spans="1:9" x14ac:dyDescent="0.2">
      <c r="A93" s="2">
        <v>3</v>
      </c>
      <c r="B93" s="1" t="s">
        <v>97</v>
      </c>
      <c r="C93" s="4">
        <v>148</v>
      </c>
      <c r="D93" s="8">
        <v>7.25</v>
      </c>
      <c r="E93" s="4">
        <v>111</v>
      </c>
      <c r="F93" s="8">
        <v>15.72</v>
      </c>
      <c r="G93" s="4">
        <v>37</v>
      </c>
      <c r="H93" s="8">
        <v>2.77</v>
      </c>
      <c r="I93" s="4">
        <v>0</v>
      </c>
    </row>
    <row r="94" spans="1:9" x14ac:dyDescent="0.2">
      <c r="A94" s="2">
        <v>4</v>
      </c>
      <c r="B94" s="1" t="s">
        <v>101</v>
      </c>
      <c r="C94" s="4">
        <v>109</v>
      </c>
      <c r="D94" s="8">
        <v>5.34</v>
      </c>
      <c r="E94" s="4">
        <v>92</v>
      </c>
      <c r="F94" s="8">
        <v>13.03</v>
      </c>
      <c r="G94" s="4">
        <v>17</v>
      </c>
      <c r="H94" s="8">
        <v>1.27</v>
      </c>
      <c r="I94" s="4">
        <v>0</v>
      </c>
    </row>
    <row r="95" spans="1:9" x14ac:dyDescent="0.2">
      <c r="A95" s="2">
        <v>5</v>
      </c>
      <c r="B95" s="1" t="s">
        <v>92</v>
      </c>
      <c r="C95" s="4">
        <v>108</v>
      </c>
      <c r="D95" s="8">
        <v>5.29</v>
      </c>
      <c r="E95" s="4">
        <v>32</v>
      </c>
      <c r="F95" s="8">
        <v>4.53</v>
      </c>
      <c r="G95" s="4">
        <v>76</v>
      </c>
      <c r="H95" s="8">
        <v>5.69</v>
      </c>
      <c r="I95" s="4">
        <v>0</v>
      </c>
    </row>
    <row r="96" spans="1:9" x14ac:dyDescent="0.2">
      <c r="A96" s="2">
        <v>6</v>
      </c>
      <c r="B96" s="1" t="s">
        <v>85</v>
      </c>
      <c r="C96" s="4">
        <v>107</v>
      </c>
      <c r="D96" s="8">
        <v>5.24</v>
      </c>
      <c r="E96" s="4">
        <v>10</v>
      </c>
      <c r="F96" s="8">
        <v>1.42</v>
      </c>
      <c r="G96" s="4">
        <v>97</v>
      </c>
      <c r="H96" s="8">
        <v>7.26</v>
      </c>
      <c r="I96" s="4">
        <v>0</v>
      </c>
    </row>
    <row r="97" spans="1:9" x14ac:dyDescent="0.2">
      <c r="A97" s="2">
        <v>7</v>
      </c>
      <c r="B97" s="1" t="s">
        <v>84</v>
      </c>
      <c r="C97" s="4">
        <v>105</v>
      </c>
      <c r="D97" s="8">
        <v>5.14</v>
      </c>
      <c r="E97" s="4">
        <v>4</v>
      </c>
      <c r="F97" s="8">
        <v>0.56999999999999995</v>
      </c>
      <c r="G97" s="4">
        <v>101</v>
      </c>
      <c r="H97" s="8">
        <v>7.56</v>
      </c>
      <c r="I97" s="4">
        <v>0</v>
      </c>
    </row>
    <row r="98" spans="1:9" x14ac:dyDescent="0.2">
      <c r="A98" s="2">
        <v>8</v>
      </c>
      <c r="B98" s="1" t="s">
        <v>86</v>
      </c>
      <c r="C98" s="4">
        <v>100</v>
      </c>
      <c r="D98" s="8">
        <v>4.9000000000000004</v>
      </c>
      <c r="E98" s="4">
        <v>4</v>
      </c>
      <c r="F98" s="8">
        <v>0.56999999999999995</v>
      </c>
      <c r="G98" s="4">
        <v>96</v>
      </c>
      <c r="H98" s="8">
        <v>7.19</v>
      </c>
      <c r="I98" s="4">
        <v>0</v>
      </c>
    </row>
    <row r="99" spans="1:9" x14ac:dyDescent="0.2">
      <c r="A99" s="2">
        <v>9</v>
      </c>
      <c r="B99" s="1" t="s">
        <v>100</v>
      </c>
      <c r="C99" s="4">
        <v>70</v>
      </c>
      <c r="D99" s="8">
        <v>3.43</v>
      </c>
      <c r="E99" s="4">
        <v>41</v>
      </c>
      <c r="F99" s="8">
        <v>5.81</v>
      </c>
      <c r="G99" s="4">
        <v>29</v>
      </c>
      <c r="H99" s="8">
        <v>2.17</v>
      </c>
      <c r="I99" s="4">
        <v>0</v>
      </c>
    </row>
    <row r="100" spans="1:9" x14ac:dyDescent="0.2">
      <c r="A100" s="2">
        <v>10</v>
      </c>
      <c r="B100" s="1" t="s">
        <v>96</v>
      </c>
      <c r="C100" s="4">
        <v>63</v>
      </c>
      <c r="D100" s="8">
        <v>3.09</v>
      </c>
      <c r="E100" s="4">
        <v>13</v>
      </c>
      <c r="F100" s="8">
        <v>1.84</v>
      </c>
      <c r="G100" s="4">
        <v>50</v>
      </c>
      <c r="H100" s="8">
        <v>3.74</v>
      </c>
      <c r="I100" s="4">
        <v>0</v>
      </c>
    </row>
    <row r="101" spans="1:9" x14ac:dyDescent="0.2">
      <c r="A101" s="2">
        <v>11</v>
      </c>
      <c r="B101" s="1" t="s">
        <v>90</v>
      </c>
      <c r="C101" s="4">
        <v>61</v>
      </c>
      <c r="D101" s="8">
        <v>2.99</v>
      </c>
      <c r="E101" s="4">
        <v>37</v>
      </c>
      <c r="F101" s="8">
        <v>5.24</v>
      </c>
      <c r="G101" s="4">
        <v>24</v>
      </c>
      <c r="H101" s="8">
        <v>1.8</v>
      </c>
      <c r="I101" s="4">
        <v>0</v>
      </c>
    </row>
    <row r="102" spans="1:9" x14ac:dyDescent="0.2">
      <c r="A102" s="2">
        <v>12</v>
      </c>
      <c r="B102" s="1" t="s">
        <v>95</v>
      </c>
      <c r="C102" s="4">
        <v>59</v>
      </c>
      <c r="D102" s="8">
        <v>2.89</v>
      </c>
      <c r="E102" s="4">
        <v>24</v>
      </c>
      <c r="F102" s="8">
        <v>3.4</v>
      </c>
      <c r="G102" s="4">
        <v>35</v>
      </c>
      <c r="H102" s="8">
        <v>2.62</v>
      </c>
      <c r="I102" s="4">
        <v>0</v>
      </c>
    </row>
    <row r="103" spans="1:9" x14ac:dyDescent="0.2">
      <c r="A103" s="2">
        <v>13</v>
      </c>
      <c r="B103" s="1" t="s">
        <v>91</v>
      </c>
      <c r="C103" s="4">
        <v>51</v>
      </c>
      <c r="D103" s="8">
        <v>2.5</v>
      </c>
      <c r="E103" s="4">
        <v>15</v>
      </c>
      <c r="F103" s="8">
        <v>2.12</v>
      </c>
      <c r="G103" s="4">
        <v>36</v>
      </c>
      <c r="H103" s="8">
        <v>2.69</v>
      </c>
      <c r="I103" s="4">
        <v>0</v>
      </c>
    </row>
    <row r="104" spans="1:9" x14ac:dyDescent="0.2">
      <c r="A104" s="2">
        <v>14</v>
      </c>
      <c r="B104" s="1" t="s">
        <v>93</v>
      </c>
      <c r="C104" s="4">
        <v>45</v>
      </c>
      <c r="D104" s="8">
        <v>2.2000000000000002</v>
      </c>
      <c r="E104" s="4">
        <v>4</v>
      </c>
      <c r="F104" s="8">
        <v>0.56999999999999995</v>
      </c>
      <c r="G104" s="4">
        <v>41</v>
      </c>
      <c r="H104" s="8">
        <v>3.07</v>
      </c>
      <c r="I104" s="4">
        <v>0</v>
      </c>
    </row>
    <row r="105" spans="1:9" x14ac:dyDescent="0.2">
      <c r="A105" s="2">
        <v>15</v>
      </c>
      <c r="B105" s="1" t="s">
        <v>88</v>
      </c>
      <c r="C105" s="4">
        <v>40</v>
      </c>
      <c r="D105" s="8">
        <v>1.96</v>
      </c>
      <c r="E105" s="4">
        <v>0</v>
      </c>
      <c r="F105" s="8">
        <v>0</v>
      </c>
      <c r="G105" s="4">
        <v>40</v>
      </c>
      <c r="H105" s="8">
        <v>2.99</v>
      </c>
      <c r="I105" s="4">
        <v>0</v>
      </c>
    </row>
    <row r="106" spans="1:9" x14ac:dyDescent="0.2">
      <c r="A106" s="2">
        <v>16</v>
      </c>
      <c r="B106" s="1" t="s">
        <v>104</v>
      </c>
      <c r="C106" s="4">
        <v>37</v>
      </c>
      <c r="D106" s="8">
        <v>1.81</v>
      </c>
      <c r="E106" s="4">
        <v>3</v>
      </c>
      <c r="F106" s="8">
        <v>0.42</v>
      </c>
      <c r="G106" s="4">
        <v>34</v>
      </c>
      <c r="H106" s="8">
        <v>2.54</v>
      </c>
      <c r="I106" s="4">
        <v>0</v>
      </c>
    </row>
    <row r="107" spans="1:9" x14ac:dyDescent="0.2">
      <c r="A107" s="2">
        <v>16</v>
      </c>
      <c r="B107" s="1" t="s">
        <v>89</v>
      </c>
      <c r="C107" s="4">
        <v>37</v>
      </c>
      <c r="D107" s="8">
        <v>1.81</v>
      </c>
      <c r="E107" s="4">
        <v>19</v>
      </c>
      <c r="F107" s="8">
        <v>2.69</v>
      </c>
      <c r="G107" s="4">
        <v>18</v>
      </c>
      <c r="H107" s="8">
        <v>1.35</v>
      </c>
      <c r="I107" s="4">
        <v>0</v>
      </c>
    </row>
    <row r="108" spans="1:9" x14ac:dyDescent="0.2">
      <c r="A108" s="2">
        <v>18</v>
      </c>
      <c r="B108" s="1" t="s">
        <v>87</v>
      </c>
      <c r="C108" s="4">
        <v>32</v>
      </c>
      <c r="D108" s="8">
        <v>1.57</v>
      </c>
      <c r="E108" s="4">
        <v>0</v>
      </c>
      <c r="F108" s="8">
        <v>0</v>
      </c>
      <c r="G108" s="4">
        <v>32</v>
      </c>
      <c r="H108" s="8">
        <v>2.4</v>
      </c>
      <c r="I108" s="4">
        <v>0</v>
      </c>
    </row>
    <row r="109" spans="1:9" x14ac:dyDescent="0.2">
      <c r="A109" s="2">
        <v>19</v>
      </c>
      <c r="B109" s="1" t="s">
        <v>102</v>
      </c>
      <c r="C109" s="4">
        <v>30</v>
      </c>
      <c r="D109" s="8">
        <v>1.47</v>
      </c>
      <c r="E109" s="4">
        <v>1</v>
      </c>
      <c r="F109" s="8">
        <v>0.14000000000000001</v>
      </c>
      <c r="G109" s="4">
        <v>29</v>
      </c>
      <c r="H109" s="8">
        <v>2.17</v>
      </c>
      <c r="I109" s="4">
        <v>0</v>
      </c>
    </row>
    <row r="110" spans="1:9" x14ac:dyDescent="0.2">
      <c r="A110" s="2">
        <v>19</v>
      </c>
      <c r="B110" s="1" t="s">
        <v>105</v>
      </c>
      <c r="C110" s="4">
        <v>30</v>
      </c>
      <c r="D110" s="8">
        <v>1.47</v>
      </c>
      <c r="E110" s="4">
        <v>2</v>
      </c>
      <c r="F110" s="8">
        <v>0.28000000000000003</v>
      </c>
      <c r="G110" s="4">
        <v>28</v>
      </c>
      <c r="H110" s="8">
        <v>2.1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98</v>
      </c>
      <c r="C113" s="4">
        <v>240</v>
      </c>
      <c r="D113" s="8">
        <v>11.07</v>
      </c>
      <c r="E113" s="4">
        <v>195</v>
      </c>
      <c r="F113" s="8">
        <v>28.63</v>
      </c>
      <c r="G113" s="4">
        <v>45</v>
      </c>
      <c r="H113" s="8">
        <v>3.03</v>
      </c>
      <c r="I113" s="4">
        <v>0</v>
      </c>
    </row>
    <row r="114" spans="1:9" x14ac:dyDescent="0.2">
      <c r="A114" s="2">
        <v>2</v>
      </c>
      <c r="B114" s="1" t="s">
        <v>85</v>
      </c>
      <c r="C114" s="4">
        <v>181</v>
      </c>
      <c r="D114" s="8">
        <v>8.34</v>
      </c>
      <c r="E114" s="4">
        <v>24</v>
      </c>
      <c r="F114" s="8">
        <v>3.52</v>
      </c>
      <c r="G114" s="4">
        <v>157</v>
      </c>
      <c r="H114" s="8">
        <v>10.57</v>
      </c>
      <c r="I114" s="4">
        <v>0</v>
      </c>
    </row>
    <row r="115" spans="1:9" x14ac:dyDescent="0.2">
      <c r="A115" s="2">
        <v>3</v>
      </c>
      <c r="B115" s="1" t="s">
        <v>84</v>
      </c>
      <c r="C115" s="4">
        <v>178</v>
      </c>
      <c r="D115" s="8">
        <v>8.2100000000000009</v>
      </c>
      <c r="E115" s="4">
        <v>7</v>
      </c>
      <c r="F115" s="8">
        <v>1.03</v>
      </c>
      <c r="G115" s="4">
        <v>171</v>
      </c>
      <c r="H115" s="8">
        <v>11.52</v>
      </c>
      <c r="I115" s="4">
        <v>0</v>
      </c>
    </row>
    <row r="116" spans="1:9" x14ac:dyDescent="0.2">
      <c r="A116" s="2">
        <v>4</v>
      </c>
      <c r="B116" s="1" t="s">
        <v>86</v>
      </c>
      <c r="C116" s="4">
        <v>160</v>
      </c>
      <c r="D116" s="8">
        <v>7.38</v>
      </c>
      <c r="E116" s="4">
        <v>7</v>
      </c>
      <c r="F116" s="8">
        <v>1.03</v>
      </c>
      <c r="G116" s="4">
        <v>153</v>
      </c>
      <c r="H116" s="8">
        <v>10.3</v>
      </c>
      <c r="I116" s="4">
        <v>0</v>
      </c>
    </row>
    <row r="117" spans="1:9" x14ac:dyDescent="0.2">
      <c r="A117" s="2">
        <v>4</v>
      </c>
      <c r="B117" s="1" t="s">
        <v>97</v>
      </c>
      <c r="C117" s="4">
        <v>160</v>
      </c>
      <c r="D117" s="8">
        <v>7.38</v>
      </c>
      <c r="E117" s="4">
        <v>124</v>
      </c>
      <c r="F117" s="8">
        <v>18.21</v>
      </c>
      <c r="G117" s="4">
        <v>36</v>
      </c>
      <c r="H117" s="8">
        <v>2.42</v>
      </c>
      <c r="I117" s="4">
        <v>0</v>
      </c>
    </row>
    <row r="118" spans="1:9" x14ac:dyDescent="0.2">
      <c r="A118" s="2">
        <v>6</v>
      </c>
      <c r="B118" s="1" t="s">
        <v>94</v>
      </c>
      <c r="C118" s="4">
        <v>129</v>
      </c>
      <c r="D118" s="8">
        <v>5.95</v>
      </c>
      <c r="E118" s="4">
        <v>6</v>
      </c>
      <c r="F118" s="8">
        <v>0.88</v>
      </c>
      <c r="G118" s="4">
        <v>123</v>
      </c>
      <c r="H118" s="8">
        <v>8.2799999999999994</v>
      </c>
      <c r="I118" s="4">
        <v>0</v>
      </c>
    </row>
    <row r="119" spans="1:9" x14ac:dyDescent="0.2">
      <c r="A119" s="2">
        <v>7</v>
      </c>
      <c r="B119" s="1" t="s">
        <v>92</v>
      </c>
      <c r="C119" s="4">
        <v>117</v>
      </c>
      <c r="D119" s="8">
        <v>5.39</v>
      </c>
      <c r="E119" s="4">
        <v>43</v>
      </c>
      <c r="F119" s="8">
        <v>6.31</v>
      </c>
      <c r="G119" s="4">
        <v>74</v>
      </c>
      <c r="H119" s="8">
        <v>4.9800000000000004</v>
      </c>
      <c r="I119" s="4">
        <v>0</v>
      </c>
    </row>
    <row r="120" spans="1:9" x14ac:dyDescent="0.2">
      <c r="A120" s="2">
        <v>8</v>
      </c>
      <c r="B120" s="1" t="s">
        <v>101</v>
      </c>
      <c r="C120" s="4">
        <v>78</v>
      </c>
      <c r="D120" s="8">
        <v>3.6</v>
      </c>
      <c r="E120" s="4">
        <v>68</v>
      </c>
      <c r="F120" s="8">
        <v>9.99</v>
      </c>
      <c r="G120" s="4">
        <v>10</v>
      </c>
      <c r="H120" s="8">
        <v>0.67</v>
      </c>
      <c r="I120" s="4">
        <v>0</v>
      </c>
    </row>
    <row r="121" spans="1:9" x14ac:dyDescent="0.2">
      <c r="A121" s="2">
        <v>9</v>
      </c>
      <c r="B121" s="1" t="s">
        <v>91</v>
      </c>
      <c r="C121" s="4">
        <v>74</v>
      </c>
      <c r="D121" s="8">
        <v>3.41</v>
      </c>
      <c r="E121" s="4">
        <v>18</v>
      </c>
      <c r="F121" s="8">
        <v>2.64</v>
      </c>
      <c r="G121" s="4">
        <v>56</v>
      </c>
      <c r="H121" s="8">
        <v>3.77</v>
      </c>
      <c r="I121" s="4">
        <v>0</v>
      </c>
    </row>
    <row r="122" spans="1:9" x14ac:dyDescent="0.2">
      <c r="A122" s="2">
        <v>10</v>
      </c>
      <c r="B122" s="1" t="s">
        <v>90</v>
      </c>
      <c r="C122" s="4">
        <v>53</v>
      </c>
      <c r="D122" s="8">
        <v>2.44</v>
      </c>
      <c r="E122" s="4">
        <v>32</v>
      </c>
      <c r="F122" s="8">
        <v>4.7</v>
      </c>
      <c r="G122" s="4">
        <v>21</v>
      </c>
      <c r="H122" s="8">
        <v>1.41</v>
      </c>
      <c r="I122" s="4">
        <v>0</v>
      </c>
    </row>
    <row r="123" spans="1:9" x14ac:dyDescent="0.2">
      <c r="A123" s="2">
        <v>11</v>
      </c>
      <c r="B123" s="1" t="s">
        <v>96</v>
      </c>
      <c r="C123" s="4">
        <v>48</v>
      </c>
      <c r="D123" s="8">
        <v>2.21</v>
      </c>
      <c r="E123" s="4">
        <v>10</v>
      </c>
      <c r="F123" s="8">
        <v>1.47</v>
      </c>
      <c r="G123" s="4">
        <v>38</v>
      </c>
      <c r="H123" s="8">
        <v>2.56</v>
      </c>
      <c r="I123" s="4">
        <v>0</v>
      </c>
    </row>
    <row r="124" spans="1:9" x14ac:dyDescent="0.2">
      <c r="A124" s="2">
        <v>11</v>
      </c>
      <c r="B124" s="1" t="s">
        <v>103</v>
      </c>
      <c r="C124" s="4">
        <v>48</v>
      </c>
      <c r="D124" s="8">
        <v>2.21</v>
      </c>
      <c r="E124" s="4">
        <v>22</v>
      </c>
      <c r="F124" s="8">
        <v>3.23</v>
      </c>
      <c r="G124" s="4">
        <v>26</v>
      </c>
      <c r="H124" s="8">
        <v>1.75</v>
      </c>
      <c r="I124" s="4">
        <v>0</v>
      </c>
    </row>
    <row r="125" spans="1:9" x14ac:dyDescent="0.2">
      <c r="A125" s="2">
        <v>13</v>
      </c>
      <c r="B125" s="1" t="s">
        <v>100</v>
      </c>
      <c r="C125" s="4">
        <v>47</v>
      </c>
      <c r="D125" s="8">
        <v>2.17</v>
      </c>
      <c r="E125" s="4">
        <v>25</v>
      </c>
      <c r="F125" s="8">
        <v>3.67</v>
      </c>
      <c r="G125" s="4">
        <v>22</v>
      </c>
      <c r="H125" s="8">
        <v>1.48</v>
      </c>
      <c r="I125" s="4">
        <v>0</v>
      </c>
    </row>
    <row r="126" spans="1:9" x14ac:dyDescent="0.2">
      <c r="A126" s="2">
        <v>14</v>
      </c>
      <c r="B126" s="1" t="s">
        <v>95</v>
      </c>
      <c r="C126" s="4">
        <v>45</v>
      </c>
      <c r="D126" s="8">
        <v>2.0699999999999998</v>
      </c>
      <c r="E126" s="4">
        <v>20</v>
      </c>
      <c r="F126" s="8">
        <v>2.94</v>
      </c>
      <c r="G126" s="4">
        <v>25</v>
      </c>
      <c r="H126" s="8">
        <v>1.68</v>
      </c>
      <c r="I126" s="4">
        <v>0</v>
      </c>
    </row>
    <row r="127" spans="1:9" x14ac:dyDescent="0.2">
      <c r="A127" s="2">
        <v>15</v>
      </c>
      <c r="B127" s="1" t="s">
        <v>87</v>
      </c>
      <c r="C127" s="4">
        <v>43</v>
      </c>
      <c r="D127" s="8">
        <v>1.98</v>
      </c>
      <c r="E127" s="4">
        <v>4</v>
      </c>
      <c r="F127" s="8">
        <v>0.59</v>
      </c>
      <c r="G127" s="4">
        <v>39</v>
      </c>
      <c r="H127" s="8">
        <v>2.63</v>
      </c>
      <c r="I127" s="4">
        <v>0</v>
      </c>
    </row>
    <row r="128" spans="1:9" x14ac:dyDescent="0.2">
      <c r="A128" s="2">
        <v>16</v>
      </c>
      <c r="B128" s="1" t="s">
        <v>93</v>
      </c>
      <c r="C128" s="4">
        <v>42</v>
      </c>
      <c r="D128" s="8">
        <v>1.94</v>
      </c>
      <c r="E128" s="4">
        <v>1</v>
      </c>
      <c r="F128" s="8">
        <v>0.15</v>
      </c>
      <c r="G128" s="4">
        <v>41</v>
      </c>
      <c r="H128" s="8">
        <v>2.76</v>
      </c>
      <c r="I128" s="4">
        <v>0</v>
      </c>
    </row>
    <row r="129" spans="1:9" x14ac:dyDescent="0.2">
      <c r="A129" s="2">
        <v>17</v>
      </c>
      <c r="B129" s="1" t="s">
        <v>88</v>
      </c>
      <c r="C129" s="4">
        <v>38</v>
      </c>
      <c r="D129" s="8">
        <v>1.75</v>
      </c>
      <c r="E129" s="4">
        <v>2</v>
      </c>
      <c r="F129" s="8">
        <v>0.28999999999999998</v>
      </c>
      <c r="G129" s="4">
        <v>36</v>
      </c>
      <c r="H129" s="8">
        <v>2.42</v>
      </c>
      <c r="I129" s="4">
        <v>0</v>
      </c>
    </row>
    <row r="130" spans="1:9" x14ac:dyDescent="0.2">
      <c r="A130" s="2">
        <v>17</v>
      </c>
      <c r="B130" s="1" t="s">
        <v>104</v>
      </c>
      <c r="C130" s="4">
        <v>38</v>
      </c>
      <c r="D130" s="8">
        <v>1.75</v>
      </c>
      <c r="E130" s="4">
        <v>5</v>
      </c>
      <c r="F130" s="8">
        <v>0.73</v>
      </c>
      <c r="G130" s="4">
        <v>33</v>
      </c>
      <c r="H130" s="8">
        <v>2.2200000000000002</v>
      </c>
      <c r="I130" s="4">
        <v>0</v>
      </c>
    </row>
    <row r="131" spans="1:9" x14ac:dyDescent="0.2">
      <c r="A131" s="2">
        <v>19</v>
      </c>
      <c r="B131" s="1" t="s">
        <v>102</v>
      </c>
      <c r="C131" s="4">
        <v>36</v>
      </c>
      <c r="D131" s="8">
        <v>1.66</v>
      </c>
      <c r="E131" s="4">
        <v>3</v>
      </c>
      <c r="F131" s="8">
        <v>0.44</v>
      </c>
      <c r="G131" s="4">
        <v>33</v>
      </c>
      <c r="H131" s="8">
        <v>2.2200000000000002</v>
      </c>
      <c r="I131" s="4">
        <v>0</v>
      </c>
    </row>
    <row r="132" spans="1:9" x14ac:dyDescent="0.2">
      <c r="A132" s="2">
        <v>20</v>
      </c>
      <c r="B132" s="1" t="s">
        <v>99</v>
      </c>
      <c r="C132" s="4">
        <v>32</v>
      </c>
      <c r="D132" s="8">
        <v>1.48</v>
      </c>
      <c r="E132" s="4">
        <v>12</v>
      </c>
      <c r="F132" s="8">
        <v>1.76</v>
      </c>
      <c r="G132" s="4">
        <v>20</v>
      </c>
      <c r="H132" s="8">
        <v>1.35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98</v>
      </c>
      <c r="C135" s="4">
        <v>179</v>
      </c>
      <c r="D135" s="8">
        <v>15.12</v>
      </c>
      <c r="E135" s="4">
        <v>134</v>
      </c>
      <c r="F135" s="8">
        <v>31.68</v>
      </c>
      <c r="G135" s="4">
        <v>45</v>
      </c>
      <c r="H135" s="8">
        <v>5.93</v>
      </c>
      <c r="I135" s="4">
        <v>0</v>
      </c>
    </row>
    <row r="136" spans="1:9" x14ac:dyDescent="0.2">
      <c r="A136" s="2">
        <v>2</v>
      </c>
      <c r="B136" s="1" t="s">
        <v>100</v>
      </c>
      <c r="C136" s="4">
        <v>86</v>
      </c>
      <c r="D136" s="8">
        <v>7.26</v>
      </c>
      <c r="E136" s="4">
        <v>48</v>
      </c>
      <c r="F136" s="8">
        <v>11.35</v>
      </c>
      <c r="G136" s="4">
        <v>37</v>
      </c>
      <c r="H136" s="8">
        <v>4.87</v>
      </c>
      <c r="I136" s="4">
        <v>0</v>
      </c>
    </row>
    <row r="137" spans="1:9" x14ac:dyDescent="0.2">
      <c r="A137" s="2">
        <v>3</v>
      </c>
      <c r="B137" s="1" t="s">
        <v>84</v>
      </c>
      <c r="C137" s="4">
        <v>77</v>
      </c>
      <c r="D137" s="8">
        <v>6.5</v>
      </c>
      <c r="E137" s="4">
        <v>3</v>
      </c>
      <c r="F137" s="8">
        <v>0.71</v>
      </c>
      <c r="G137" s="4">
        <v>74</v>
      </c>
      <c r="H137" s="8">
        <v>9.75</v>
      </c>
      <c r="I137" s="4">
        <v>0</v>
      </c>
    </row>
    <row r="138" spans="1:9" x14ac:dyDescent="0.2">
      <c r="A138" s="2">
        <v>4</v>
      </c>
      <c r="B138" s="1" t="s">
        <v>94</v>
      </c>
      <c r="C138" s="4">
        <v>76</v>
      </c>
      <c r="D138" s="8">
        <v>6.42</v>
      </c>
      <c r="E138" s="4">
        <v>6</v>
      </c>
      <c r="F138" s="8">
        <v>1.42</v>
      </c>
      <c r="G138" s="4">
        <v>70</v>
      </c>
      <c r="H138" s="8">
        <v>9.2200000000000006</v>
      </c>
      <c r="I138" s="4">
        <v>0</v>
      </c>
    </row>
    <row r="139" spans="1:9" x14ac:dyDescent="0.2">
      <c r="A139" s="2">
        <v>5</v>
      </c>
      <c r="B139" s="1" t="s">
        <v>101</v>
      </c>
      <c r="C139" s="4">
        <v>68</v>
      </c>
      <c r="D139" s="8">
        <v>5.74</v>
      </c>
      <c r="E139" s="4">
        <v>52</v>
      </c>
      <c r="F139" s="8">
        <v>12.29</v>
      </c>
      <c r="G139" s="4">
        <v>16</v>
      </c>
      <c r="H139" s="8">
        <v>2.11</v>
      </c>
      <c r="I139" s="4">
        <v>0</v>
      </c>
    </row>
    <row r="140" spans="1:9" x14ac:dyDescent="0.2">
      <c r="A140" s="2">
        <v>6</v>
      </c>
      <c r="B140" s="1" t="s">
        <v>97</v>
      </c>
      <c r="C140" s="4">
        <v>67</v>
      </c>
      <c r="D140" s="8">
        <v>5.66</v>
      </c>
      <c r="E140" s="4">
        <v>51</v>
      </c>
      <c r="F140" s="8">
        <v>12.06</v>
      </c>
      <c r="G140" s="4">
        <v>16</v>
      </c>
      <c r="H140" s="8">
        <v>2.11</v>
      </c>
      <c r="I140" s="4">
        <v>0</v>
      </c>
    </row>
    <row r="141" spans="1:9" x14ac:dyDescent="0.2">
      <c r="A141" s="2">
        <v>7</v>
      </c>
      <c r="B141" s="1" t="s">
        <v>85</v>
      </c>
      <c r="C141" s="4">
        <v>62</v>
      </c>
      <c r="D141" s="8">
        <v>5.24</v>
      </c>
      <c r="E141" s="4">
        <v>9</v>
      </c>
      <c r="F141" s="8">
        <v>2.13</v>
      </c>
      <c r="G141" s="4">
        <v>53</v>
      </c>
      <c r="H141" s="8">
        <v>6.98</v>
      </c>
      <c r="I141" s="4">
        <v>0</v>
      </c>
    </row>
    <row r="142" spans="1:9" x14ac:dyDescent="0.2">
      <c r="A142" s="2">
        <v>8</v>
      </c>
      <c r="B142" s="1" t="s">
        <v>92</v>
      </c>
      <c r="C142" s="4">
        <v>56</v>
      </c>
      <c r="D142" s="8">
        <v>4.7300000000000004</v>
      </c>
      <c r="E142" s="4">
        <v>15</v>
      </c>
      <c r="F142" s="8">
        <v>3.55</v>
      </c>
      <c r="G142" s="4">
        <v>41</v>
      </c>
      <c r="H142" s="8">
        <v>5.4</v>
      </c>
      <c r="I142" s="4">
        <v>0</v>
      </c>
    </row>
    <row r="143" spans="1:9" x14ac:dyDescent="0.2">
      <c r="A143" s="2">
        <v>9</v>
      </c>
      <c r="B143" s="1" t="s">
        <v>86</v>
      </c>
      <c r="C143" s="4">
        <v>51</v>
      </c>
      <c r="D143" s="8">
        <v>4.3099999999999996</v>
      </c>
      <c r="E143" s="4">
        <v>5</v>
      </c>
      <c r="F143" s="8">
        <v>1.18</v>
      </c>
      <c r="G143" s="4">
        <v>46</v>
      </c>
      <c r="H143" s="8">
        <v>6.06</v>
      </c>
      <c r="I143" s="4">
        <v>0</v>
      </c>
    </row>
    <row r="144" spans="1:9" x14ac:dyDescent="0.2">
      <c r="A144" s="2">
        <v>10</v>
      </c>
      <c r="B144" s="1" t="s">
        <v>95</v>
      </c>
      <c r="C144" s="4">
        <v>46</v>
      </c>
      <c r="D144" s="8">
        <v>3.89</v>
      </c>
      <c r="E144" s="4">
        <v>18</v>
      </c>
      <c r="F144" s="8">
        <v>4.26</v>
      </c>
      <c r="G144" s="4">
        <v>28</v>
      </c>
      <c r="H144" s="8">
        <v>3.69</v>
      </c>
      <c r="I144" s="4">
        <v>0</v>
      </c>
    </row>
    <row r="145" spans="1:9" x14ac:dyDescent="0.2">
      <c r="A145" s="2">
        <v>11</v>
      </c>
      <c r="B145" s="1" t="s">
        <v>90</v>
      </c>
      <c r="C145" s="4">
        <v>34</v>
      </c>
      <c r="D145" s="8">
        <v>2.87</v>
      </c>
      <c r="E145" s="4">
        <v>19</v>
      </c>
      <c r="F145" s="8">
        <v>4.49</v>
      </c>
      <c r="G145" s="4">
        <v>15</v>
      </c>
      <c r="H145" s="8">
        <v>1.98</v>
      </c>
      <c r="I145" s="4">
        <v>0</v>
      </c>
    </row>
    <row r="146" spans="1:9" x14ac:dyDescent="0.2">
      <c r="A146" s="2">
        <v>12</v>
      </c>
      <c r="B146" s="1" t="s">
        <v>91</v>
      </c>
      <c r="C146" s="4">
        <v>27</v>
      </c>
      <c r="D146" s="8">
        <v>2.2799999999999998</v>
      </c>
      <c r="E146" s="4">
        <v>11</v>
      </c>
      <c r="F146" s="8">
        <v>2.6</v>
      </c>
      <c r="G146" s="4">
        <v>16</v>
      </c>
      <c r="H146" s="8">
        <v>2.11</v>
      </c>
      <c r="I146" s="4">
        <v>0</v>
      </c>
    </row>
    <row r="147" spans="1:9" x14ac:dyDescent="0.2">
      <c r="A147" s="2">
        <v>12</v>
      </c>
      <c r="B147" s="1" t="s">
        <v>99</v>
      </c>
      <c r="C147" s="4">
        <v>27</v>
      </c>
      <c r="D147" s="8">
        <v>2.2799999999999998</v>
      </c>
      <c r="E147" s="4">
        <v>12</v>
      </c>
      <c r="F147" s="8">
        <v>2.84</v>
      </c>
      <c r="G147" s="4">
        <v>15</v>
      </c>
      <c r="H147" s="8">
        <v>1.98</v>
      </c>
      <c r="I147" s="4">
        <v>0</v>
      </c>
    </row>
    <row r="148" spans="1:9" x14ac:dyDescent="0.2">
      <c r="A148" s="2">
        <v>14</v>
      </c>
      <c r="B148" s="1" t="s">
        <v>89</v>
      </c>
      <c r="C148" s="4">
        <v>26</v>
      </c>
      <c r="D148" s="8">
        <v>2.2000000000000002</v>
      </c>
      <c r="E148" s="4">
        <v>7</v>
      </c>
      <c r="F148" s="8">
        <v>1.65</v>
      </c>
      <c r="G148" s="4">
        <v>19</v>
      </c>
      <c r="H148" s="8">
        <v>2.5</v>
      </c>
      <c r="I148" s="4">
        <v>0</v>
      </c>
    </row>
    <row r="149" spans="1:9" x14ac:dyDescent="0.2">
      <c r="A149" s="2">
        <v>15</v>
      </c>
      <c r="B149" s="1" t="s">
        <v>96</v>
      </c>
      <c r="C149" s="4">
        <v>25</v>
      </c>
      <c r="D149" s="8">
        <v>2.11</v>
      </c>
      <c r="E149" s="4">
        <v>4</v>
      </c>
      <c r="F149" s="8">
        <v>0.95</v>
      </c>
      <c r="G149" s="4">
        <v>21</v>
      </c>
      <c r="H149" s="8">
        <v>2.77</v>
      </c>
      <c r="I149" s="4">
        <v>0</v>
      </c>
    </row>
    <row r="150" spans="1:9" x14ac:dyDescent="0.2">
      <c r="A150" s="2">
        <v>16</v>
      </c>
      <c r="B150" s="1" t="s">
        <v>102</v>
      </c>
      <c r="C150" s="4">
        <v>24</v>
      </c>
      <c r="D150" s="8">
        <v>2.0299999999999998</v>
      </c>
      <c r="E150" s="4">
        <v>1</v>
      </c>
      <c r="F150" s="8">
        <v>0.24</v>
      </c>
      <c r="G150" s="4">
        <v>23</v>
      </c>
      <c r="H150" s="8">
        <v>3.03</v>
      </c>
      <c r="I150" s="4">
        <v>0</v>
      </c>
    </row>
    <row r="151" spans="1:9" x14ac:dyDescent="0.2">
      <c r="A151" s="2">
        <v>17</v>
      </c>
      <c r="B151" s="1" t="s">
        <v>93</v>
      </c>
      <c r="C151" s="4">
        <v>21</v>
      </c>
      <c r="D151" s="8">
        <v>1.77</v>
      </c>
      <c r="E151" s="4">
        <v>1</v>
      </c>
      <c r="F151" s="8">
        <v>0.24</v>
      </c>
      <c r="G151" s="4">
        <v>20</v>
      </c>
      <c r="H151" s="8">
        <v>2.64</v>
      </c>
      <c r="I151" s="4">
        <v>0</v>
      </c>
    </row>
    <row r="152" spans="1:9" x14ac:dyDescent="0.2">
      <c r="A152" s="2">
        <v>18</v>
      </c>
      <c r="B152" s="1" t="s">
        <v>103</v>
      </c>
      <c r="C152" s="4">
        <v>16</v>
      </c>
      <c r="D152" s="8">
        <v>1.35</v>
      </c>
      <c r="E152" s="4">
        <v>7</v>
      </c>
      <c r="F152" s="8">
        <v>1.65</v>
      </c>
      <c r="G152" s="4">
        <v>9</v>
      </c>
      <c r="H152" s="8">
        <v>1.19</v>
      </c>
      <c r="I152" s="4">
        <v>0</v>
      </c>
    </row>
    <row r="153" spans="1:9" x14ac:dyDescent="0.2">
      <c r="A153" s="2">
        <v>19</v>
      </c>
      <c r="B153" s="1" t="s">
        <v>88</v>
      </c>
      <c r="C153" s="4">
        <v>15</v>
      </c>
      <c r="D153" s="8">
        <v>1.27</v>
      </c>
      <c r="E153" s="4">
        <v>0</v>
      </c>
      <c r="F153" s="8">
        <v>0</v>
      </c>
      <c r="G153" s="4">
        <v>15</v>
      </c>
      <c r="H153" s="8">
        <v>1.98</v>
      </c>
      <c r="I153" s="4">
        <v>0</v>
      </c>
    </row>
    <row r="154" spans="1:9" x14ac:dyDescent="0.2">
      <c r="A154" s="2">
        <v>20</v>
      </c>
      <c r="B154" s="1" t="s">
        <v>104</v>
      </c>
      <c r="C154" s="4">
        <v>14</v>
      </c>
      <c r="D154" s="8">
        <v>1.18</v>
      </c>
      <c r="E154" s="4">
        <v>1</v>
      </c>
      <c r="F154" s="8">
        <v>0.24</v>
      </c>
      <c r="G154" s="4">
        <v>13</v>
      </c>
      <c r="H154" s="8">
        <v>1.71</v>
      </c>
      <c r="I154" s="4">
        <v>0</v>
      </c>
    </row>
    <row r="155" spans="1:9" x14ac:dyDescent="0.2">
      <c r="A155" s="2">
        <v>20</v>
      </c>
      <c r="B155" s="1" t="s">
        <v>107</v>
      </c>
      <c r="C155" s="4">
        <v>14</v>
      </c>
      <c r="D155" s="8">
        <v>1.18</v>
      </c>
      <c r="E155" s="4">
        <v>1</v>
      </c>
      <c r="F155" s="8">
        <v>0.24</v>
      </c>
      <c r="G155" s="4">
        <v>13</v>
      </c>
      <c r="H155" s="8">
        <v>1.71</v>
      </c>
      <c r="I155" s="4">
        <v>0</v>
      </c>
    </row>
    <row r="156" spans="1:9" x14ac:dyDescent="0.2">
      <c r="A156" s="2">
        <v>20</v>
      </c>
      <c r="B156" s="1" t="s">
        <v>105</v>
      </c>
      <c r="C156" s="4">
        <v>14</v>
      </c>
      <c r="D156" s="8">
        <v>1.18</v>
      </c>
      <c r="E156" s="4">
        <v>1</v>
      </c>
      <c r="F156" s="8">
        <v>0.24</v>
      </c>
      <c r="G156" s="4">
        <v>13</v>
      </c>
      <c r="H156" s="8">
        <v>1.71</v>
      </c>
      <c r="I156" s="4">
        <v>0</v>
      </c>
    </row>
    <row r="157" spans="1:9" x14ac:dyDescent="0.2">
      <c r="A157" s="1"/>
      <c r="C157" s="4"/>
      <c r="D157" s="8"/>
      <c r="E157" s="4"/>
      <c r="F157" s="8"/>
      <c r="G157" s="4"/>
      <c r="H157" s="8"/>
      <c r="I157" s="4"/>
    </row>
    <row r="158" spans="1:9" x14ac:dyDescent="0.2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2">
      <c r="A159" s="2">
        <v>1</v>
      </c>
      <c r="B159" s="1" t="s">
        <v>98</v>
      </c>
      <c r="C159" s="4">
        <v>107</v>
      </c>
      <c r="D159" s="8">
        <v>9.5399999999999991</v>
      </c>
      <c r="E159" s="4">
        <v>57</v>
      </c>
      <c r="F159" s="8">
        <v>31.49</v>
      </c>
      <c r="G159" s="4">
        <v>50</v>
      </c>
      <c r="H159" s="8">
        <v>5.33</v>
      </c>
      <c r="I159" s="4">
        <v>0</v>
      </c>
    </row>
    <row r="160" spans="1:9" x14ac:dyDescent="0.2">
      <c r="A160" s="2">
        <v>2</v>
      </c>
      <c r="B160" s="1" t="s">
        <v>89</v>
      </c>
      <c r="C160" s="4">
        <v>79</v>
      </c>
      <c r="D160" s="8">
        <v>7.04</v>
      </c>
      <c r="E160" s="4">
        <v>4</v>
      </c>
      <c r="F160" s="8">
        <v>2.21</v>
      </c>
      <c r="G160" s="4">
        <v>75</v>
      </c>
      <c r="H160" s="8">
        <v>8</v>
      </c>
      <c r="I160" s="4">
        <v>0</v>
      </c>
    </row>
    <row r="161" spans="1:9" x14ac:dyDescent="0.2">
      <c r="A161" s="2">
        <v>3</v>
      </c>
      <c r="B161" s="1" t="s">
        <v>92</v>
      </c>
      <c r="C161" s="4">
        <v>73</v>
      </c>
      <c r="D161" s="8">
        <v>6.51</v>
      </c>
      <c r="E161" s="4">
        <v>16</v>
      </c>
      <c r="F161" s="8">
        <v>8.84</v>
      </c>
      <c r="G161" s="4">
        <v>57</v>
      </c>
      <c r="H161" s="8">
        <v>6.08</v>
      </c>
      <c r="I161" s="4">
        <v>0</v>
      </c>
    </row>
    <row r="162" spans="1:9" x14ac:dyDescent="0.2">
      <c r="A162" s="2">
        <v>4</v>
      </c>
      <c r="B162" s="1" t="s">
        <v>94</v>
      </c>
      <c r="C162" s="4">
        <v>67</v>
      </c>
      <c r="D162" s="8">
        <v>5.97</v>
      </c>
      <c r="E162" s="4">
        <v>0</v>
      </c>
      <c r="F162" s="8">
        <v>0</v>
      </c>
      <c r="G162" s="4">
        <v>66</v>
      </c>
      <c r="H162" s="8">
        <v>7.04</v>
      </c>
      <c r="I162" s="4">
        <v>1</v>
      </c>
    </row>
    <row r="163" spans="1:9" x14ac:dyDescent="0.2">
      <c r="A163" s="2">
        <v>5</v>
      </c>
      <c r="B163" s="1" t="s">
        <v>95</v>
      </c>
      <c r="C163" s="4">
        <v>59</v>
      </c>
      <c r="D163" s="8">
        <v>5.26</v>
      </c>
      <c r="E163" s="4">
        <v>16</v>
      </c>
      <c r="F163" s="8">
        <v>8.84</v>
      </c>
      <c r="G163" s="4">
        <v>42</v>
      </c>
      <c r="H163" s="8">
        <v>4.4800000000000004</v>
      </c>
      <c r="I163" s="4">
        <v>1</v>
      </c>
    </row>
    <row r="164" spans="1:9" x14ac:dyDescent="0.2">
      <c r="A164" s="2">
        <v>6</v>
      </c>
      <c r="B164" s="1" t="s">
        <v>100</v>
      </c>
      <c r="C164" s="4">
        <v>55</v>
      </c>
      <c r="D164" s="8">
        <v>4.9000000000000004</v>
      </c>
      <c r="E164" s="4">
        <v>15</v>
      </c>
      <c r="F164" s="8">
        <v>8.2899999999999991</v>
      </c>
      <c r="G164" s="4">
        <v>39</v>
      </c>
      <c r="H164" s="8">
        <v>4.16</v>
      </c>
      <c r="I164" s="4">
        <v>1</v>
      </c>
    </row>
    <row r="165" spans="1:9" x14ac:dyDescent="0.2">
      <c r="A165" s="2">
        <v>7</v>
      </c>
      <c r="B165" s="1" t="s">
        <v>97</v>
      </c>
      <c r="C165" s="4">
        <v>51</v>
      </c>
      <c r="D165" s="8">
        <v>4.55</v>
      </c>
      <c r="E165" s="4">
        <v>14</v>
      </c>
      <c r="F165" s="8">
        <v>7.73</v>
      </c>
      <c r="G165" s="4">
        <v>37</v>
      </c>
      <c r="H165" s="8">
        <v>3.94</v>
      </c>
      <c r="I165" s="4">
        <v>0</v>
      </c>
    </row>
    <row r="166" spans="1:9" x14ac:dyDescent="0.2">
      <c r="A166" s="2">
        <v>8</v>
      </c>
      <c r="B166" s="1" t="s">
        <v>90</v>
      </c>
      <c r="C166" s="4">
        <v>44</v>
      </c>
      <c r="D166" s="8">
        <v>3.92</v>
      </c>
      <c r="E166" s="4">
        <v>8</v>
      </c>
      <c r="F166" s="8">
        <v>4.42</v>
      </c>
      <c r="G166" s="4">
        <v>36</v>
      </c>
      <c r="H166" s="8">
        <v>3.84</v>
      </c>
      <c r="I166" s="4">
        <v>0</v>
      </c>
    </row>
    <row r="167" spans="1:9" x14ac:dyDescent="0.2">
      <c r="A167" s="2">
        <v>9</v>
      </c>
      <c r="B167" s="1" t="s">
        <v>101</v>
      </c>
      <c r="C167" s="4">
        <v>43</v>
      </c>
      <c r="D167" s="8">
        <v>3.83</v>
      </c>
      <c r="E167" s="4">
        <v>31</v>
      </c>
      <c r="F167" s="8">
        <v>17.13</v>
      </c>
      <c r="G167" s="4">
        <v>12</v>
      </c>
      <c r="H167" s="8">
        <v>1.28</v>
      </c>
      <c r="I167" s="4">
        <v>0</v>
      </c>
    </row>
    <row r="168" spans="1:9" x14ac:dyDescent="0.2">
      <c r="A168" s="2">
        <v>10</v>
      </c>
      <c r="B168" s="1" t="s">
        <v>96</v>
      </c>
      <c r="C168" s="4">
        <v>41</v>
      </c>
      <c r="D168" s="8">
        <v>3.65</v>
      </c>
      <c r="E168" s="4">
        <v>2</v>
      </c>
      <c r="F168" s="8">
        <v>1.1000000000000001</v>
      </c>
      <c r="G168" s="4">
        <v>39</v>
      </c>
      <c r="H168" s="8">
        <v>4.16</v>
      </c>
      <c r="I168" s="4">
        <v>0</v>
      </c>
    </row>
    <row r="169" spans="1:9" x14ac:dyDescent="0.2">
      <c r="A169" s="2">
        <v>11</v>
      </c>
      <c r="B169" s="1" t="s">
        <v>109</v>
      </c>
      <c r="C169" s="4">
        <v>36</v>
      </c>
      <c r="D169" s="8">
        <v>3.21</v>
      </c>
      <c r="E169" s="4">
        <v>0</v>
      </c>
      <c r="F169" s="8">
        <v>0</v>
      </c>
      <c r="G169" s="4">
        <v>36</v>
      </c>
      <c r="H169" s="8">
        <v>3.84</v>
      </c>
      <c r="I169" s="4">
        <v>0</v>
      </c>
    </row>
    <row r="170" spans="1:9" x14ac:dyDescent="0.2">
      <c r="A170" s="2">
        <v>12</v>
      </c>
      <c r="B170" s="1" t="s">
        <v>84</v>
      </c>
      <c r="C170" s="4">
        <v>35</v>
      </c>
      <c r="D170" s="8">
        <v>3.12</v>
      </c>
      <c r="E170" s="4">
        <v>3</v>
      </c>
      <c r="F170" s="8">
        <v>1.66</v>
      </c>
      <c r="G170" s="4">
        <v>32</v>
      </c>
      <c r="H170" s="8">
        <v>3.41</v>
      </c>
      <c r="I170" s="4">
        <v>0</v>
      </c>
    </row>
    <row r="171" spans="1:9" x14ac:dyDescent="0.2">
      <c r="A171" s="2">
        <v>13</v>
      </c>
      <c r="B171" s="1" t="s">
        <v>105</v>
      </c>
      <c r="C171" s="4">
        <v>33</v>
      </c>
      <c r="D171" s="8">
        <v>2.94</v>
      </c>
      <c r="E171" s="4">
        <v>0</v>
      </c>
      <c r="F171" s="8">
        <v>0</v>
      </c>
      <c r="G171" s="4">
        <v>33</v>
      </c>
      <c r="H171" s="8">
        <v>3.52</v>
      </c>
      <c r="I171" s="4">
        <v>0</v>
      </c>
    </row>
    <row r="172" spans="1:9" x14ac:dyDescent="0.2">
      <c r="A172" s="2">
        <v>14</v>
      </c>
      <c r="B172" s="1" t="s">
        <v>86</v>
      </c>
      <c r="C172" s="4">
        <v>32</v>
      </c>
      <c r="D172" s="8">
        <v>2.85</v>
      </c>
      <c r="E172" s="4">
        <v>1</v>
      </c>
      <c r="F172" s="8">
        <v>0.55000000000000004</v>
      </c>
      <c r="G172" s="4">
        <v>31</v>
      </c>
      <c r="H172" s="8">
        <v>3.3</v>
      </c>
      <c r="I172" s="4">
        <v>0</v>
      </c>
    </row>
    <row r="173" spans="1:9" x14ac:dyDescent="0.2">
      <c r="A173" s="2">
        <v>15</v>
      </c>
      <c r="B173" s="1" t="s">
        <v>88</v>
      </c>
      <c r="C173" s="4">
        <v>29</v>
      </c>
      <c r="D173" s="8">
        <v>2.58</v>
      </c>
      <c r="E173" s="4">
        <v>0</v>
      </c>
      <c r="F173" s="8">
        <v>0</v>
      </c>
      <c r="G173" s="4">
        <v>29</v>
      </c>
      <c r="H173" s="8">
        <v>3.09</v>
      </c>
      <c r="I173" s="4">
        <v>0</v>
      </c>
    </row>
    <row r="174" spans="1:9" x14ac:dyDescent="0.2">
      <c r="A174" s="2">
        <v>16</v>
      </c>
      <c r="B174" s="1" t="s">
        <v>108</v>
      </c>
      <c r="C174" s="4">
        <v>28</v>
      </c>
      <c r="D174" s="8">
        <v>2.5</v>
      </c>
      <c r="E174" s="4">
        <v>1</v>
      </c>
      <c r="F174" s="8">
        <v>0.55000000000000004</v>
      </c>
      <c r="G174" s="4">
        <v>27</v>
      </c>
      <c r="H174" s="8">
        <v>2.88</v>
      </c>
      <c r="I174" s="4">
        <v>0</v>
      </c>
    </row>
    <row r="175" spans="1:9" x14ac:dyDescent="0.2">
      <c r="A175" s="2">
        <v>17</v>
      </c>
      <c r="B175" s="1" t="s">
        <v>85</v>
      </c>
      <c r="C175" s="4">
        <v>25</v>
      </c>
      <c r="D175" s="8">
        <v>2.23</v>
      </c>
      <c r="E175" s="4">
        <v>1</v>
      </c>
      <c r="F175" s="8">
        <v>0.55000000000000004</v>
      </c>
      <c r="G175" s="4">
        <v>24</v>
      </c>
      <c r="H175" s="8">
        <v>2.56</v>
      </c>
      <c r="I175" s="4">
        <v>0</v>
      </c>
    </row>
    <row r="176" spans="1:9" x14ac:dyDescent="0.2">
      <c r="A176" s="2">
        <v>18</v>
      </c>
      <c r="B176" s="1" t="s">
        <v>104</v>
      </c>
      <c r="C176" s="4">
        <v>23</v>
      </c>
      <c r="D176" s="8">
        <v>2.0499999999999998</v>
      </c>
      <c r="E176" s="4">
        <v>1</v>
      </c>
      <c r="F176" s="8">
        <v>0.55000000000000004</v>
      </c>
      <c r="G176" s="4">
        <v>22</v>
      </c>
      <c r="H176" s="8">
        <v>2.35</v>
      </c>
      <c r="I176" s="4">
        <v>0</v>
      </c>
    </row>
    <row r="177" spans="1:9" x14ac:dyDescent="0.2">
      <c r="A177" s="2">
        <v>19</v>
      </c>
      <c r="B177" s="1" t="s">
        <v>87</v>
      </c>
      <c r="C177" s="4">
        <v>21</v>
      </c>
      <c r="D177" s="8">
        <v>1.87</v>
      </c>
      <c r="E177" s="4">
        <v>0</v>
      </c>
      <c r="F177" s="8">
        <v>0</v>
      </c>
      <c r="G177" s="4">
        <v>21</v>
      </c>
      <c r="H177" s="8">
        <v>2.2400000000000002</v>
      </c>
      <c r="I177" s="4">
        <v>0</v>
      </c>
    </row>
    <row r="178" spans="1:9" x14ac:dyDescent="0.2">
      <c r="A178" s="2">
        <v>20</v>
      </c>
      <c r="B178" s="1" t="s">
        <v>107</v>
      </c>
      <c r="C178" s="4">
        <v>17</v>
      </c>
      <c r="D178" s="8">
        <v>1.52</v>
      </c>
      <c r="E178" s="4">
        <v>1</v>
      </c>
      <c r="F178" s="8">
        <v>0.55000000000000004</v>
      </c>
      <c r="G178" s="4">
        <v>16</v>
      </c>
      <c r="H178" s="8">
        <v>1.71</v>
      </c>
      <c r="I178" s="4">
        <v>0</v>
      </c>
    </row>
    <row r="179" spans="1:9" x14ac:dyDescent="0.2">
      <c r="A179" s="2">
        <v>20</v>
      </c>
      <c r="B179" s="1" t="s">
        <v>99</v>
      </c>
      <c r="C179" s="4">
        <v>17</v>
      </c>
      <c r="D179" s="8">
        <v>1.52</v>
      </c>
      <c r="E179" s="4">
        <v>5</v>
      </c>
      <c r="F179" s="8">
        <v>2.76</v>
      </c>
      <c r="G179" s="4">
        <v>12</v>
      </c>
      <c r="H179" s="8">
        <v>1.28</v>
      </c>
      <c r="I179" s="4">
        <v>0</v>
      </c>
    </row>
    <row r="180" spans="1:9" x14ac:dyDescent="0.2">
      <c r="A180" s="1"/>
      <c r="C180" s="4"/>
      <c r="D180" s="8"/>
      <c r="E180" s="4"/>
      <c r="F180" s="8"/>
      <c r="G180" s="4"/>
      <c r="H180" s="8"/>
      <c r="I180" s="4"/>
    </row>
    <row r="181" spans="1:9" x14ac:dyDescent="0.2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2">
      <c r="A182" s="2">
        <v>1</v>
      </c>
      <c r="B182" s="1" t="s">
        <v>98</v>
      </c>
      <c r="C182" s="4">
        <v>233</v>
      </c>
      <c r="D182" s="8">
        <v>11.43</v>
      </c>
      <c r="E182" s="4">
        <v>213</v>
      </c>
      <c r="F182" s="8">
        <v>16.73</v>
      </c>
      <c r="G182" s="4">
        <v>20</v>
      </c>
      <c r="H182" s="8">
        <v>2.65</v>
      </c>
      <c r="I182" s="4">
        <v>0</v>
      </c>
    </row>
    <row r="183" spans="1:9" x14ac:dyDescent="0.2">
      <c r="A183" s="2">
        <v>2</v>
      </c>
      <c r="B183" s="1" t="s">
        <v>97</v>
      </c>
      <c r="C183" s="4">
        <v>231</v>
      </c>
      <c r="D183" s="8">
        <v>11.33</v>
      </c>
      <c r="E183" s="4">
        <v>211</v>
      </c>
      <c r="F183" s="8">
        <v>16.579999999999998</v>
      </c>
      <c r="G183" s="4">
        <v>20</v>
      </c>
      <c r="H183" s="8">
        <v>2.65</v>
      </c>
      <c r="I183" s="4">
        <v>0</v>
      </c>
    </row>
    <row r="184" spans="1:9" x14ac:dyDescent="0.2">
      <c r="A184" s="2">
        <v>3</v>
      </c>
      <c r="B184" s="1" t="s">
        <v>92</v>
      </c>
      <c r="C184" s="4">
        <v>189</v>
      </c>
      <c r="D184" s="8">
        <v>9.27</v>
      </c>
      <c r="E184" s="4">
        <v>116</v>
      </c>
      <c r="F184" s="8">
        <v>9.11</v>
      </c>
      <c r="G184" s="4">
        <v>73</v>
      </c>
      <c r="H184" s="8">
        <v>9.67</v>
      </c>
      <c r="I184" s="4">
        <v>0</v>
      </c>
    </row>
    <row r="185" spans="1:9" x14ac:dyDescent="0.2">
      <c r="A185" s="2">
        <v>4</v>
      </c>
      <c r="B185" s="1" t="s">
        <v>90</v>
      </c>
      <c r="C185" s="4">
        <v>162</v>
      </c>
      <c r="D185" s="8">
        <v>7.95</v>
      </c>
      <c r="E185" s="4">
        <v>114</v>
      </c>
      <c r="F185" s="8">
        <v>8.9600000000000009</v>
      </c>
      <c r="G185" s="4">
        <v>48</v>
      </c>
      <c r="H185" s="8">
        <v>6.36</v>
      </c>
      <c r="I185" s="4">
        <v>0</v>
      </c>
    </row>
    <row r="186" spans="1:9" x14ac:dyDescent="0.2">
      <c r="A186" s="2">
        <v>5</v>
      </c>
      <c r="B186" s="1" t="s">
        <v>94</v>
      </c>
      <c r="C186" s="4">
        <v>112</v>
      </c>
      <c r="D186" s="8">
        <v>5.49</v>
      </c>
      <c r="E186" s="4">
        <v>72</v>
      </c>
      <c r="F186" s="8">
        <v>5.66</v>
      </c>
      <c r="G186" s="4">
        <v>40</v>
      </c>
      <c r="H186" s="8">
        <v>5.3</v>
      </c>
      <c r="I186" s="4">
        <v>0</v>
      </c>
    </row>
    <row r="187" spans="1:9" x14ac:dyDescent="0.2">
      <c r="A187" s="2">
        <v>6</v>
      </c>
      <c r="B187" s="1" t="s">
        <v>85</v>
      </c>
      <c r="C187" s="4">
        <v>106</v>
      </c>
      <c r="D187" s="8">
        <v>5.2</v>
      </c>
      <c r="E187" s="4">
        <v>65</v>
      </c>
      <c r="F187" s="8">
        <v>5.1100000000000003</v>
      </c>
      <c r="G187" s="4">
        <v>41</v>
      </c>
      <c r="H187" s="8">
        <v>5.43</v>
      </c>
      <c r="I187" s="4">
        <v>0</v>
      </c>
    </row>
    <row r="188" spans="1:9" x14ac:dyDescent="0.2">
      <c r="A188" s="2">
        <v>7</v>
      </c>
      <c r="B188" s="1" t="s">
        <v>84</v>
      </c>
      <c r="C188" s="4">
        <v>83</v>
      </c>
      <c r="D188" s="8">
        <v>4.07</v>
      </c>
      <c r="E188" s="4">
        <v>35</v>
      </c>
      <c r="F188" s="8">
        <v>2.75</v>
      </c>
      <c r="G188" s="4">
        <v>48</v>
      </c>
      <c r="H188" s="8">
        <v>6.36</v>
      </c>
      <c r="I188" s="4">
        <v>0</v>
      </c>
    </row>
    <row r="189" spans="1:9" x14ac:dyDescent="0.2">
      <c r="A189" s="2">
        <v>8</v>
      </c>
      <c r="B189" s="1" t="s">
        <v>89</v>
      </c>
      <c r="C189" s="4">
        <v>76</v>
      </c>
      <c r="D189" s="8">
        <v>3.73</v>
      </c>
      <c r="E189" s="4">
        <v>38</v>
      </c>
      <c r="F189" s="8">
        <v>2.99</v>
      </c>
      <c r="G189" s="4">
        <v>38</v>
      </c>
      <c r="H189" s="8">
        <v>5.03</v>
      </c>
      <c r="I189" s="4">
        <v>0</v>
      </c>
    </row>
    <row r="190" spans="1:9" x14ac:dyDescent="0.2">
      <c r="A190" s="2">
        <v>9</v>
      </c>
      <c r="B190" s="1" t="s">
        <v>101</v>
      </c>
      <c r="C190" s="4">
        <v>65</v>
      </c>
      <c r="D190" s="8">
        <v>3.19</v>
      </c>
      <c r="E190" s="4">
        <v>60</v>
      </c>
      <c r="F190" s="8">
        <v>4.71</v>
      </c>
      <c r="G190" s="4">
        <v>5</v>
      </c>
      <c r="H190" s="8">
        <v>0.66</v>
      </c>
      <c r="I190" s="4">
        <v>0</v>
      </c>
    </row>
    <row r="191" spans="1:9" x14ac:dyDescent="0.2">
      <c r="A191" s="2">
        <v>10</v>
      </c>
      <c r="B191" s="1" t="s">
        <v>86</v>
      </c>
      <c r="C191" s="4">
        <v>64</v>
      </c>
      <c r="D191" s="8">
        <v>3.14</v>
      </c>
      <c r="E191" s="4">
        <v>21</v>
      </c>
      <c r="F191" s="8">
        <v>1.65</v>
      </c>
      <c r="G191" s="4">
        <v>43</v>
      </c>
      <c r="H191" s="8">
        <v>5.7</v>
      </c>
      <c r="I191" s="4">
        <v>0</v>
      </c>
    </row>
    <row r="192" spans="1:9" x14ac:dyDescent="0.2">
      <c r="A192" s="2">
        <v>11</v>
      </c>
      <c r="B192" s="1" t="s">
        <v>91</v>
      </c>
      <c r="C192" s="4">
        <v>55</v>
      </c>
      <c r="D192" s="8">
        <v>2.7</v>
      </c>
      <c r="E192" s="4">
        <v>41</v>
      </c>
      <c r="F192" s="8">
        <v>3.22</v>
      </c>
      <c r="G192" s="4">
        <v>14</v>
      </c>
      <c r="H192" s="8">
        <v>1.85</v>
      </c>
      <c r="I192" s="4">
        <v>0</v>
      </c>
    </row>
    <row r="193" spans="1:9" x14ac:dyDescent="0.2">
      <c r="A193" s="2">
        <v>12</v>
      </c>
      <c r="B193" s="1" t="s">
        <v>110</v>
      </c>
      <c r="C193" s="4">
        <v>52</v>
      </c>
      <c r="D193" s="8">
        <v>2.5499999999999998</v>
      </c>
      <c r="E193" s="4">
        <v>13</v>
      </c>
      <c r="F193" s="8">
        <v>1.02</v>
      </c>
      <c r="G193" s="4">
        <v>39</v>
      </c>
      <c r="H193" s="8">
        <v>5.17</v>
      </c>
      <c r="I193" s="4">
        <v>0</v>
      </c>
    </row>
    <row r="194" spans="1:9" x14ac:dyDescent="0.2">
      <c r="A194" s="2">
        <v>13</v>
      </c>
      <c r="B194" s="1" t="s">
        <v>109</v>
      </c>
      <c r="C194" s="4">
        <v>49</v>
      </c>
      <c r="D194" s="8">
        <v>2.4</v>
      </c>
      <c r="E194" s="4">
        <v>15</v>
      </c>
      <c r="F194" s="8">
        <v>1.18</v>
      </c>
      <c r="G194" s="4">
        <v>34</v>
      </c>
      <c r="H194" s="8">
        <v>4.5</v>
      </c>
      <c r="I194" s="4">
        <v>0</v>
      </c>
    </row>
    <row r="195" spans="1:9" x14ac:dyDescent="0.2">
      <c r="A195" s="2">
        <v>14</v>
      </c>
      <c r="B195" s="1" t="s">
        <v>100</v>
      </c>
      <c r="C195" s="4">
        <v>47</v>
      </c>
      <c r="D195" s="8">
        <v>2.31</v>
      </c>
      <c r="E195" s="4">
        <v>38</v>
      </c>
      <c r="F195" s="8">
        <v>2.99</v>
      </c>
      <c r="G195" s="4">
        <v>8</v>
      </c>
      <c r="H195" s="8">
        <v>1.06</v>
      </c>
      <c r="I195" s="4">
        <v>0</v>
      </c>
    </row>
    <row r="196" spans="1:9" x14ac:dyDescent="0.2">
      <c r="A196" s="2">
        <v>15</v>
      </c>
      <c r="B196" s="1" t="s">
        <v>103</v>
      </c>
      <c r="C196" s="4">
        <v>43</v>
      </c>
      <c r="D196" s="8">
        <v>2.11</v>
      </c>
      <c r="E196" s="4">
        <v>40</v>
      </c>
      <c r="F196" s="8">
        <v>3.14</v>
      </c>
      <c r="G196" s="4">
        <v>3</v>
      </c>
      <c r="H196" s="8">
        <v>0.4</v>
      </c>
      <c r="I196" s="4">
        <v>0</v>
      </c>
    </row>
    <row r="197" spans="1:9" x14ac:dyDescent="0.2">
      <c r="A197" s="2">
        <v>16</v>
      </c>
      <c r="B197" s="1" t="s">
        <v>87</v>
      </c>
      <c r="C197" s="4">
        <v>42</v>
      </c>
      <c r="D197" s="8">
        <v>2.06</v>
      </c>
      <c r="E197" s="4">
        <v>17</v>
      </c>
      <c r="F197" s="8">
        <v>1.34</v>
      </c>
      <c r="G197" s="4">
        <v>25</v>
      </c>
      <c r="H197" s="8">
        <v>3.31</v>
      </c>
      <c r="I197" s="4">
        <v>0</v>
      </c>
    </row>
    <row r="198" spans="1:9" x14ac:dyDescent="0.2">
      <c r="A198" s="2">
        <v>17</v>
      </c>
      <c r="B198" s="1" t="s">
        <v>95</v>
      </c>
      <c r="C198" s="4">
        <v>33</v>
      </c>
      <c r="D198" s="8">
        <v>1.62</v>
      </c>
      <c r="E198" s="4">
        <v>24</v>
      </c>
      <c r="F198" s="8">
        <v>1.89</v>
      </c>
      <c r="G198" s="4">
        <v>9</v>
      </c>
      <c r="H198" s="8">
        <v>1.19</v>
      </c>
      <c r="I198" s="4">
        <v>0</v>
      </c>
    </row>
    <row r="199" spans="1:9" x14ac:dyDescent="0.2">
      <c r="A199" s="2">
        <v>18</v>
      </c>
      <c r="B199" s="1" t="s">
        <v>96</v>
      </c>
      <c r="C199" s="4">
        <v>25</v>
      </c>
      <c r="D199" s="8">
        <v>1.23</v>
      </c>
      <c r="E199" s="4">
        <v>18</v>
      </c>
      <c r="F199" s="8">
        <v>1.41</v>
      </c>
      <c r="G199" s="4">
        <v>6</v>
      </c>
      <c r="H199" s="8">
        <v>0.79</v>
      </c>
      <c r="I199" s="4">
        <v>0</v>
      </c>
    </row>
    <row r="200" spans="1:9" x14ac:dyDescent="0.2">
      <c r="A200" s="2">
        <v>18</v>
      </c>
      <c r="B200" s="1" t="s">
        <v>102</v>
      </c>
      <c r="C200" s="4">
        <v>25</v>
      </c>
      <c r="D200" s="8">
        <v>1.23</v>
      </c>
      <c r="E200" s="4">
        <v>0</v>
      </c>
      <c r="F200" s="8">
        <v>0</v>
      </c>
      <c r="G200" s="4">
        <v>23</v>
      </c>
      <c r="H200" s="8">
        <v>3.05</v>
      </c>
      <c r="I200" s="4">
        <v>0</v>
      </c>
    </row>
    <row r="201" spans="1:9" x14ac:dyDescent="0.2">
      <c r="A201" s="2">
        <v>20</v>
      </c>
      <c r="B201" s="1" t="s">
        <v>104</v>
      </c>
      <c r="C201" s="4">
        <v>23</v>
      </c>
      <c r="D201" s="8">
        <v>1.1299999999999999</v>
      </c>
      <c r="E201" s="4">
        <v>6</v>
      </c>
      <c r="F201" s="8">
        <v>0.47</v>
      </c>
      <c r="G201" s="4">
        <v>17</v>
      </c>
      <c r="H201" s="8">
        <v>2.25</v>
      </c>
      <c r="I201" s="4">
        <v>0</v>
      </c>
    </row>
    <row r="202" spans="1:9" x14ac:dyDescent="0.2">
      <c r="A202" s="1"/>
      <c r="C202" s="4"/>
      <c r="D202" s="8"/>
      <c r="E202" s="4"/>
      <c r="F202" s="8"/>
      <c r="G202" s="4"/>
      <c r="H202" s="8"/>
      <c r="I202" s="4"/>
    </row>
    <row r="203" spans="1:9" x14ac:dyDescent="0.2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2">
      <c r="A204" s="2">
        <v>1</v>
      </c>
      <c r="B204" s="1" t="s">
        <v>94</v>
      </c>
      <c r="C204" s="4">
        <v>1006</v>
      </c>
      <c r="D204" s="8">
        <v>15.19</v>
      </c>
      <c r="E204" s="4">
        <v>314</v>
      </c>
      <c r="F204" s="8">
        <v>12.64</v>
      </c>
      <c r="G204" s="4">
        <v>691</v>
      </c>
      <c r="H204" s="8">
        <v>16.88</v>
      </c>
      <c r="I204" s="4">
        <v>1</v>
      </c>
    </row>
    <row r="205" spans="1:9" x14ac:dyDescent="0.2">
      <c r="A205" s="2">
        <v>2</v>
      </c>
      <c r="B205" s="1" t="s">
        <v>98</v>
      </c>
      <c r="C205" s="4">
        <v>685</v>
      </c>
      <c r="D205" s="8">
        <v>10.34</v>
      </c>
      <c r="E205" s="4">
        <v>502</v>
      </c>
      <c r="F205" s="8">
        <v>20.21</v>
      </c>
      <c r="G205" s="4">
        <v>182</v>
      </c>
      <c r="H205" s="8">
        <v>4.45</v>
      </c>
      <c r="I205" s="4">
        <v>1</v>
      </c>
    </row>
    <row r="206" spans="1:9" x14ac:dyDescent="0.2">
      <c r="A206" s="2">
        <v>3</v>
      </c>
      <c r="B206" s="1" t="s">
        <v>97</v>
      </c>
      <c r="C206" s="4">
        <v>532</v>
      </c>
      <c r="D206" s="8">
        <v>8.0299999999999994</v>
      </c>
      <c r="E206" s="4">
        <v>424</v>
      </c>
      <c r="F206" s="8">
        <v>17.07</v>
      </c>
      <c r="G206" s="4">
        <v>108</v>
      </c>
      <c r="H206" s="8">
        <v>2.64</v>
      </c>
      <c r="I206" s="4">
        <v>0</v>
      </c>
    </row>
    <row r="207" spans="1:9" x14ac:dyDescent="0.2">
      <c r="A207" s="2">
        <v>4</v>
      </c>
      <c r="B207" s="1" t="s">
        <v>85</v>
      </c>
      <c r="C207" s="4">
        <v>329</v>
      </c>
      <c r="D207" s="8">
        <v>4.97</v>
      </c>
      <c r="E207" s="4">
        <v>44</v>
      </c>
      <c r="F207" s="8">
        <v>1.77</v>
      </c>
      <c r="G207" s="4">
        <v>285</v>
      </c>
      <c r="H207" s="8">
        <v>6.96</v>
      </c>
      <c r="I207" s="4">
        <v>0</v>
      </c>
    </row>
    <row r="208" spans="1:9" x14ac:dyDescent="0.2">
      <c r="A208" s="2">
        <v>5</v>
      </c>
      <c r="B208" s="1" t="s">
        <v>92</v>
      </c>
      <c r="C208" s="4">
        <v>317</v>
      </c>
      <c r="D208" s="8">
        <v>4.79</v>
      </c>
      <c r="E208" s="4">
        <v>142</v>
      </c>
      <c r="F208" s="8">
        <v>5.72</v>
      </c>
      <c r="G208" s="4">
        <v>175</v>
      </c>
      <c r="H208" s="8">
        <v>4.2699999999999996</v>
      </c>
      <c r="I208" s="4">
        <v>0</v>
      </c>
    </row>
    <row r="209" spans="1:9" x14ac:dyDescent="0.2">
      <c r="A209" s="2">
        <v>6</v>
      </c>
      <c r="B209" s="1" t="s">
        <v>84</v>
      </c>
      <c r="C209" s="4">
        <v>306</v>
      </c>
      <c r="D209" s="8">
        <v>4.62</v>
      </c>
      <c r="E209" s="4">
        <v>30</v>
      </c>
      <c r="F209" s="8">
        <v>1.21</v>
      </c>
      <c r="G209" s="4">
        <v>276</v>
      </c>
      <c r="H209" s="8">
        <v>6.74</v>
      </c>
      <c r="I209" s="4">
        <v>0</v>
      </c>
    </row>
    <row r="210" spans="1:9" x14ac:dyDescent="0.2">
      <c r="A210" s="2">
        <v>7</v>
      </c>
      <c r="B210" s="1" t="s">
        <v>101</v>
      </c>
      <c r="C210" s="4">
        <v>303</v>
      </c>
      <c r="D210" s="8">
        <v>4.57</v>
      </c>
      <c r="E210" s="4">
        <v>246</v>
      </c>
      <c r="F210" s="8">
        <v>9.9</v>
      </c>
      <c r="G210" s="4">
        <v>57</v>
      </c>
      <c r="H210" s="8">
        <v>1.39</v>
      </c>
      <c r="I210" s="4">
        <v>0</v>
      </c>
    </row>
    <row r="211" spans="1:9" x14ac:dyDescent="0.2">
      <c r="A211" s="2">
        <v>8</v>
      </c>
      <c r="B211" s="1" t="s">
        <v>95</v>
      </c>
      <c r="C211" s="4">
        <v>253</v>
      </c>
      <c r="D211" s="8">
        <v>3.82</v>
      </c>
      <c r="E211" s="4">
        <v>101</v>
      </c>
      <c r="F211" s="8">
        <v>4.07</v>
      </c>
      <c r="G211" s="4">
        <v>152</v>
      </c>
      <c r="H211" s="8">
        <v>3.71</v>
      </c>
      <c r="I211" s="4">
        <v>0</v>
      </c>
    </row>
    <row r="212" spans="1:9" x14ac:dyDescent="0.2">
      <c r="A212" s="2">
        <v>9</v>
      </c>
      <c r="B212" s="1" t="s">
        <v>100</v>
      </c>
      <c r="C212" s="4">
        <v>251</v>
      </c>
      <c r="D212" s="8">
        <v>3.79</v>
      </c>
      <c r="E212" s="4">
        <v>150</v>
      </c>
      <c r="F212" s="8">
        <v>6.04</v>
      </c>
      <c r="G212" s="4">
        <v>95</v>
      </c>
      <c r="H212" s="8">
        <v>2.3199999999999998</v>
      </c>
      <c r="I212" s="4">
        <v>0</v>
      </c>
    </row>
    <row r="213" spans="1:9" x14ac:dyDescent="0.2">
      <c r="A213" s="2">
        <v>10</v>
      </c>
      <c r="B213" s="1" t="s">
        <v>90</v>
      </c>
      <c r="C213" s="4">
        <v>232</v>
      </c>
      <c r="D213" s="8">
        <v>3.5</v>
      </c>
      <c r="E213" s="4">
        <v>138</v>
      </c>
      <c r="F213" s="8">
        <v>5.56</v>
      </c>
      <c r="G213" s="4">
        <v>94</v>
      </c>
      <c r="H213" s="8">
        <v>2.2999999999999998</v>
      </c>
      <c r="I213" s="4">
        <v>0</v>
      </c>
    </row>
    <row r="214" spans="1:9" x14ac:dyDescent="0.2">
      <c r="A214" s="2">
        <v>11</v>
      </c>
      <c r="B214" s="1" t="s">
        <v>86</v>
      </c>
      <c r="C214" s="4">
        <v>205</v>
      </c>
      <c r="D214" s="8">
        <v>3.1</v>
      </c>
      <c r="E214" s="4">
        <v>18</v>
      </c>
      <c r="F214" s="8">
        <v>0.72</v>
      </c>
      <c r="G214" s="4">
        <v>187</v>
      </c>
      <c r="H214" s="8">
        <v>4.57</v>
      </c>
      <c r="I214" s="4">
        <v>0</v>
      </c>
    </row>
    <row r="215" spans="1:9" x14ac:dyDescent="0.2">
      <c r="A215" s="2">
        <v>12</v>
      </c>
      <c r="B215" s="1" t="s">
        <v>89</v>
      </c>
      <c r="C215" s="4">
        <v>154</v>
      </c>
      <c r="D215" s="8">
        <v>2.33</v>
      </c>
      <c r="E215" s="4">
        <v>62</v>
      </c>
      <c r="F215" s="8">
        <v>2.5</v>
      </c>
      <c r="G215" s="4">
        <v>92</v>
      </c>
      <c r="H215" s="8">
        <v>2.25</v>
      </c>
      <c r="I215" s="4">
        <v>0</v>
      </c>
    </row>
    <row r="216" spans="1:9" x14ac:dyDescent="0.2">
      <c r="A216" s="2">
        <v>13</v>
      </c>
      <c r="B216" s="1" t="s">
        <v>91</v>
      </c>
      <c r="C216" s="4">
        <v>151</v>
      </c>
      <c r="D216" s="8">
        <v>2.2799999999999998</v>
      </c>
      <c r="E216" s="4">
        <v>56</v>
      </c>
      <c r="F216" s="8">
        <v>2.25</v>
      </c>
      <c r="G216" s="4">
        <v>95</v>
      </c>
      <c r="H216" s="8">
        <v>2.3199999999999998</v>
      </c>
      <c r="I216" s="4">
        <v>0</v>
      </c>
    </row>
    <row r="217" spans="1:9" x14ac:dyDescent="0.2">
      <c r="A217" s="2">
        <v>14</v>
      </c>
      <c r="B217" s="1" t="s">
        <v>93</v>
      </c>
      <c r="C217" s="4">
        <v>142</v>
      </c>
      <c r="D217" s="8">
        <v>2.14</v>
      </c>
      <c r="E217" s="4">
        <v>4</v>
      </c>
      <c r="F217" s="8">
        <v>0.16</v>
      </c>
      <c r="G217" s="4">
        <v>138</v>
      </c>
      <c r="H217" s="8">
        <v>3.37</v>
      </c>
      <c r="I217" s="4">
        <v>0</v>
      </c>
    </row>
    <row r="218" spans="1:9" x14ac:dyDescent="0.2">
      <c r="A218" s="2">
        <v>15</v>
      </c>
      <c r="B218" s="1" t="s">
        <v>96</v>
      </c>
      <c r="C218" s="4">
        <v>125</v>
      </c>
      <c r="D218" s="8">
        <v>1.89</v>
      </c>
      <c r="E218" s="4">
        <v>37</v>
      </c>
      <c r="F218" s="8">
        <v>1.49</v>
      </c>
      <c r="G218" s="4">
        <v>87</v>
      </c>
      <c r="H218" s="8">
        <v>2.13</v>
      </c>
      <c r="I218" s="4">
        <v>0</v>
      </c>
    </row>
    <row r="219" spans="1:9" x14ac:dyDescent="0.2">
      <c r="A219" s="2">
        <v>16</v>
      </c>
      <c r="B219" s="1" t="s">
        <v>102</v>
      </c>
      <c r="C219" s="4">
        <v>108</v>
      </c>
      <c r="D219" s="8">
        <v>1.63</v>
      </c>
      <c r="E219" s="4">
        <v>0</v>
      </c>
      <c r="F219" s="8">
        <v>0</v>
      </c>
      <c r="G219" s="4">
        <v>85</v>
      </c>
      <c r="H219" s="8">
        <v>2.08</v>
      </c>
      <c r="I219" s="4">
        <v>0</v>
      </c>
    </row>
    <row r="220" spans="1:9" x14ac:dyDescent="0.2">
      <c r="A220" s="2">
        <v>17</v>
      </c>
      <c r="B220" s="1" t="s">
        <v>104</v>
      </c>
      <c r="C220" s="4">
        <v>97</v>
      </c>
      <c r="D220" s="8">
        <v>1.46</v>
      </c>
      <c r="E220" s="4">
        <v>6</v>
      </c>
      <c r="F220" s="8">
        <v>0.24</v>
      </c>
      <c r="G220" s="4">
        <v>91</v>
      </c>
      <c r="H220" s="8">
        <v>2.2200000000000002</v>
      </c>
      <c r="I220" s="4">
        <v>0</v>
      </c>
    </row>
    <row r="221" spans="1:9" x14ac:dyDescent="0.2">
      <c r="A221" s="2">
        <v>18</v>
      </c>
      <c r="B221" s="1" t="s">
        <v>87</v>
      </c>
      <c r="C221" s="4">
        <v>96</v>
      </c>
      <c r="D221" s="8">
        <v>1.45</v>
      </c>
      <c r="E221" s="4">
        <v>8</v>
      </c>
      <c r="F221" s="8">
        <v>0.32</v>
      </c>
      <c r="G221" s="4">
        <v>88</v>
      </c>
      <c r="H221" s="8">
        <v>2.15</v>
      </c>
      <c r="I221" s="4">
        <v>0</v>
      </c>
    </row>
    <row r="222" spans="1:9" x14ac:dyDescent="0.2">
      <c r="A222" s="2">
        <v>19</v>
      </c>
      <c r="B222" s="1" t="s">
        <v>105</v>
      </c>
      <c r="C222" s="4">
        <v>95</v>
      </c>
      <c r="D222" s="8">
        <v>1.43</v>
      </c>
      <c r="E222" s="4">
        <v>5</v>
      </c>
      <c r="F222" s="8">
        <v>0.2</v>
      </c>
      <c r="G222" s="4">
        <v>90</v>
      </c>
      <c r="H222" s="8">
        <v>2.2000000000000002</v>
      </c>
      <c r="I222" s="4">
        <v>0</v>
      </c>
    </row>
    <row r="223" spans="1:9" x14ac:dyDescent="0.2">
      <c r="A223" s="2">
        <v>20</v>
      </c>
      <c r="B223" s="1" t="s">
        <v>88</v>
      </c>
      <c r="C223" s="4">
        <v>81</v>
      </c>
      <c r="D223" s="8">
        <v>1.22</v>
      </c>
      <c r="E223" s="4">
        <v>5</v>
      </c>
      <c r="F223" s="8">
        <v>0.2</v>
      </c>
      <c r="G223" s="4">
        <v>76</v>
      </c>
      <c r="H223" s="8">
        <v>1.86</v>
      </c>
      <c r="I223" s="4">
        <v>0</v>
      </c>
    </row>
    <row r="224" spans="1:9" x14ac:dyDescent="0.2">
      <c r="A224" s="1"/>
      <c r="C224" s="4"/>
      <c r="D224" s="8"/>
      <c r="E224" s="4"/>
      <c r="F224" s="8"/>
      <c r="G224" s="4"/>
      <c r="H224" s="8"/>
      <c r="I224" s="4"/>
    </row>
    <row r="225" spans="1:9" x14ac:dyDescent="0.2">
      <c r="A225" s="1" t="s">
        <v>10</v>
      </c>
      <c r="C225" s="4"/>
      <c r="D225" s="8"/>
      <c r="E225" s="4"/>
      <c r="F225" s="8"/>
      <c r="G225" s="4"/>
      <c r="H225" s="8"/>
      <c r="I225" s="4"/>
    </row>
    <row r="226" spans="1:9" x14ac:dyDescent="0.2">
      <c r="A226" s="2">
        <v>1</v>
      </c>
      <c r="B226" s="1" t="s">
        <v>98</v>
      </c>
      <c r="C226" s="4">
        <v>899</v>
      </c>
      <c r="D226" s="8">
        <v>11.12</v>
      </c>
      <c r="E226" s="4">
        <v>655</v>
      </c>
      <c r="F226" s="8">
        <v>22.05</v>
      </c>
      <c r="G226" s="4">
        <v>243</v>
      </c>
      <c r="H226" s="8">
        <v>4.83</v>
      </c>
      <c r="I226" s="4">
        <v>1</v>
      </c>
    </row>
    <row r="227" spans="1:9" x14ac:dyDescent="0.2">
      <c r="A227" s="2">
        <v>2</v>
      </c>
      <c r="B227" s="1" t="s">
        <v>97</v>
      </c>
      <c r="C227" s="4">
        <v>817</v>
      </c>
      <c r="D227" s="8">
        <v>10.11</v>
      </c>
      <c r="E227" s="4">
        <v>652</v>
      </c>
      <c r="F227" s="8">
        <v>21.95</v>
      </c>
      <c r="G227" s="4">
        <v>165</v>
      </c>
      <c r="H227" s="8">
        <v>3.28</v>
      </c>
      <c r="I227" s="4">
        <v>0</v>
      </c>
    </row>
    <row r="228" spans="1:9" x14ac:dyDescent="0.2">
      <c r="A228" s="2">
        <v>3</v>
      </c>
      <c r="B228" s="1" t="s">
        <v>94</v>
      </c>
      <c r="C228" s="4">
        <v>754</v>
      </c>
      <c r="D228" s="8">
        <v>9.33</v>
      </c>
      <c r="E228" s="4">
        <v>119</v>
      </c>
      <c r="F228" s="8">
        <v>4.01</v>
      </c>
      <c r="G228" s="4">
        <v>633</v>
      </c>
      <c r="H228" s="8">
        <v>12.58</v>
      </c>
      <c r="I228" s="4">
        <v>2</v>
      </c>
    </row>
    <row r="229" spans="1:9" x14ac:dyDescent="0.2">
      <c r="A229" s="2">
        <v>4</v>
      </c>
      <c r="B229" s="1" t="s">
        <v>101</v>
      </c>
      <c r="C229" s="4">
        <v>408</v>
      </c>
      <c r="D229" s="8">
        <v>5.05</v>
      </c>
      <c r="E229" s="4">
        <v>316</v>
      </c>
      <c r="F229" s="8">
        <v>10.64</v>
      </c>
      <c r="G229" s="4">
        <v>92</v>
      </c>
      <c r="H229" s="8">
        <v>1.83</v>
      </c>
      <c r="I229" s="4">
        <v>0</v>
      </c>
    </row>
    <row r="230" spans="1:9" x14ac:dyDescent="0.2">
      <c r="A230" s="2">
        <v>5</v>
      </c>
      <c r="B230" s="1" t="s">
        <v>85</v>
      </c>
      <c r="C230" s="4">
        <v>405</v>
      </c>
      <c r="D230" s="8">
        <v>5.01</v>
      </c>
      <c r="E230" s="4">
        <v>81</v>
      </c>
      <c r="F230" s="8">
        <v>2.73</v>
      </c>
      <c r="G230" s="4">
        <v>324</v>
      </c>
      <c r="H230" s="8">
        <v>6.44</v>
      </c>
      <c r="I230" s="4">
        <v>0</v>
      </c>
    </row>
    <row r="231" spans="1:9" x14ac:dyDescent="0.2">
      <c r="A231" s="2">
        <v>6</v>
      </c>
      <c r="B231" s="1" t="s">
        <v>84</v>
      </c>
      <c r="C231" s="4">
        <v>389</v>
      </c>
      <c r="D231" s="8">
        <v>4.8099999999999996</v>
      </c>
      <c r="E231" s="4">
        <v>32</v>
      </c>
      <c r="F231" s="8">
        <v>1.08</v>
      </c>
      <c r="G231" s="4">
        <v>357</v>
      </c>
      <c r="H231" s="8">
        <v>7.09</v>
      </c>
      <c r="I231" s="4">
        <v>0</v>
      </c>
    </row>
    <row r="232" spans="1:9" x14ac:dyDescent="0.2">
      <c r="A232" s="2">
        <v>7</v>
      </c>
      <c r="B232" s="1" t="s">
        <v>92</v>
      </c>
      <c r="C232" s="4">
        <v>384</v>
      </c>
      <c r="D232" s="8">
        <v>4.75</v>
      </c>
      <c r="E232" s="4">
        <v>156</v>
      </c>
      <c r="F232" s="8">
        <v>5.25</v>
      </c>
      <c r="G232" s="4">
        <v>228</v>
      </c>
      <c r="H232" s="8">
        <v>4.53</v>
      </c>
      <c r="I232" s="4">
        <v>0</v>
      </c>
    </row>
    <row r="233" spans="1:9" x14ac:dyDescent="0.2">
      <c r="A233" s="2">
        <v>8</v>
      </c>
      <c r="B233" s="1" t="s">
        <v>100</v>
      </c>
      <c r="C233" s="4">
        <v>335</v>
      </c>
      <c r="D233" s="8">
        <v>4.1399999999999997</v>
      </c>
      <c r="E233" s="4">
        <v>190</v>
      </c>
      <c r="F233" s="8">
        <v>6.4</v>
      </c>
      <c r="G233" s="4">
        <v>142</v>
      </c>
      <c r="H233" s="8">
        <v>2.82</v>
      </c>
      <c r="I233" s="4">
        <v>1</v>
      </c>
    </row>
    <row r="234" spans="1:9" x14ac:dyDescent="0.2">
      <c r="A234" s="2">
        <v>9</v>
      </c>
      <c r="B234" s="1" t="s">
        <v>95</v>
      </c>
      <c r="C234" s="4">
        <v>317</v>
      </c>
      <c r="D234" s="8">
        <v>3.92</v>
      </c>
      <c r="E234" s="4">
        <v>155</v>
      </c>
      <c r="F234" s="8">
        <v>5.22</v>
      </c>
      <c r="G234" s="4">
        <v>162</v>
      </c>
      <c r="H234" s="8">
        <v>3.22</v>
      </c>
      <c r="I234" s="4">
        <v>0</v>
      </c>
    </row>
    <row r="235" spans="1:9" x14ac:dyDescent="0.2">
      <c r="A235" s="2">
        <v>10</v>
      </c>
      <c r="B235" s="1" t="s">
        <v>86</v>
      </c>
      <c r="C235" s="4">
        <v>284</v>
      </c>
      <c r="D235" s="8">
        <v>3.51</v>
      </c>
      <c r="E235" s="4">
        <v>19</v>
      </c>
      <c r="F235" s="8">
        <v>0.64</v>
      </c>
      <c r="G235" s="4">
        <v>265</v>
      </c>
      <c r="H235" s="8">
        <v>5.27</v>
      </c>
      <c r="I235" s="4">
        <v>0</v>
      </c>
    </row>
    <row r="236" spans="1:9" x14ac:dyDescent="0.2">
      <c r="A236" s="2">
        <v>11</v>
      </c>
      <c r="B236" s="1" t="s">
        <v>90</v>
      </c>
      <c r="C236" s="4">
        <v>264</v>
      </c>
      <c r="D236" s="8">
        <v>3.27</v>
      </c>
      <c r="E236" s="4">
        <v>148</v>
      </c>
      <c r="F236" s="8">
        <v>4.9800000000000004</v>
      </c>
      <c r="G236" s="4">
        <v>116</v>
      </c>
      <c r="H236" s="8">
        <v>2.31</v>
      </c>
      <c r="I236" s="4">
        <v>0</v>
      </c>
    </row>
    <row r="237" spans="1:9" x14ac:dyDescent="0.2">
      <c r="A237" s="2">
        <v>12</v>
      </c>
      <c r="B237" s="1" t="s">
        <v>96</v>
      </c>
      <c r="C237" s="4">
        <v>223</v>
      </c>
      <c r="D237" s="8">
        <v>2.76</v>
      </c>
      <c r="E237" s="4">
        <v>50</v>
      </c>
      <c r="F237" s="8">
        <v>1.68</v>
      </c>
      <c r="G237" s="4">
        <v>172</v>
      </c>
      <c r="H237" s="8">
        <v>3.42</v>
      </c>
      <c r="I237" s="4">
        <v>0</v>
      </c>
    </row>
    <row r="238" spans="1:9" x14ac:dyDescent="0.2">
      <c r="A238" s="2">
        <v>13</v>
      </c>
      <c r="B238" s="1" t="s">
        <v>91</v>
      </c>
      <c r="C238" s="4">
        <v>200</v>
      </c>
      <c r="D238" s="8">
        <v>2.4700000000000002</v>
      </c>
      <c r="E238" s="4">
        <v>67</v>
      </c>
      <c r="F238" s="8">
        <v>2.2599999999999998</v>
      </c>
      <c r="G238" s="4">
        <v>133</v>
      </c>
      <c r="H238" s="8">
        <v>2.64</v>
      </c>
      <c r="I238" s="4">
        <v>0</v>
      </c>
    </row>
    <row r="239" spans="1:9" x14ac:dyDescent="0.2">
      <c r="A239" s="2">
        <v>14</v>
      </c>
      <c r="B239" s="1" t="s">
        <v>89</v>
      </c>
      <c r="C239" s="4">
        <v>182</v>
      </c>
      <c r="D239" s="8">
        <v>2.25</v>
      </c>
      <c r="E239" s="4">
        <v>47</v>
      </c>
      <c r="F239" s="8">
        <v>1.58</v>
      </c>
      <c r="G239" s="4">
        <v>135</v>
      </c>
      <c r="H239" s="8">
        <v>2.68</v>
      </c>
      <c r="I239" s="4">
        <v>0</v>
      </c>
    </row>
    <row r="240" spans="1:9" x14ac:dyDescent="0.2">
      <c r="A240" s="2">
        <v>15</v>
      </c>
      <c r="B240" s="1" t="s">
        <v>93</v>
      </c>
      <c r="C240" s="4">
        <v>176</v>
      </c>
      <c r="D240" s="8">
        <v>2.1800000000000002</v>
      </c>
      <c r="E240" s="4">
        <v>3</v>
      </c>
      <c r="F240" s="8">
        <v>0.1</v>
      </c>
      <c r="G240" s="4">
        <v>172</v>
      </c>
      <c r="H240" s="8">
        <v>3.42</v>
      </c>
      <c r="I240" s="4">
        <v>1</v>
      </c>
    </row>
    <row r="241" spans="1:9" x14ac:dyDescent="0.2">
      <c r="A241" s="2">
        <v>16</v>
      </c>
      <c r="B241" s="1" t="s">
        <v>99</v>
      </c>
      <c r="C241" s="4">
        <v>166</v>
      </c>
      <c r="D241" s="8">
        <v>2.0499999999999998</v>
      </c>
      <c r="E241" s="4">
        <v>36</v>
      </c>
      <c r="F241" s="8">
        <v>1.21</v>
      </c>
      <c r="G241" s="4">
        <v>73</v>
      </c>
      <c r="H241" s="8">
        <v>1.45</v>
      </c>
      <c r="I241" s="4">
        <v>1</v>
      </c>
    </row>
    <row r="242" spans="1:9" x14ac:dyDescent="0.2">
      <c r="A242" s="2">
        <v>17</v>
      </c>
      <c r="B242" s="1" t="s">
        <v>109</v>
      </c>
      <c r="C242" s="4">
        <v>133</v>
      </c>
      <c r="D242" s="8">
        <v>1.65</v>
      </c>
      <c r="E242" s="4">
        <v>11</v>
      </c>
      <c r="F242" s="8">
        <v>0.37</v>
      </c>
      <c r="G242" s="4">
        <v>122</v>
      </c>
      <c r="H242" s="8">
        <v>2.42</v>
      </c>
      <c r="I242" s="4">
        <v>0</v>
      </c>
    </row>
    <row r="243" spans="1:9" x14ac:dyDescent="0.2">
      <c r="A243" s="2">
        <v>18</v>
      </c>
      <c r="B243" s="1" t="s">
        <v>105</v>
      </c>
      <c r="C243" s="4">
        <v>119</v>
      </c>
      <c r="D243" s="8">
        <v>1.47</v>
      </c>
      <c r="E243" s="4">
        <v>8</v>
      </c>
      <c r="F243" s="8">
        <v>0.27</v>
      </c>
      <c r="G243" s="4">
        <v>111</v>
      </c>
      <c r="H243" s="8">
        <v>2.21</v>
      </c>
      <c r="I243" s="4">
        <v>0</v>
      </c>
    </row>
    <row r="244" spans="1:9" x14ac:dyDescent="0.2">
      <c r="A244" s="2">
        <v>19</v>
      </c>
      <c r="B244" s="1" t="s">
        <v>88</v>
      </c>
      <c r="C244" s="4">
        <v>109</v>
      </c>
      <c r="D244" s="8">
        <v>1.35</v>
      </c>
      <c r="E244" s="4">
        <v>6</v>
      </c>
      <c r="F244" s="8">
        <v>0.2</v>
      </c>
      <c r="G244" s="4">
        <v>103</v>
      </c>
      <c r="H244" s="8">
        <v>2.0499999999999998</v>
      </c>
      <c r="I244" s="4">
        <v>0</v>
      </c>
    </row>
    <row r="245" spans="1:9" x14ac:dyDescent="0.2">
      <c r="A245" s="2">
        <v>20</v>
      </c>
      <c r="B245" s="1" t="s">
        <v>104</v>
      </c>
      <c r="C245" s="4">
        <v>107</v>
      </c>
      <c r="D245" s="8">
        <v>1.32</v>
      </c>
      <c r="E245" s="4">
        <v>12</v>
      </c>
      <c r="F245" s="8">
        <v>0.4</v>
      </c>
      <c r="G245" s="4">
        <v>95</v>
      </c>
      <c r="H245" s="8">
        <v>1.89</v>
      </c>
      <c r="I245" s="4">
        <v>0</v>
      </c>
    </row>
    <row r="246" spans="1:9" x14ac:dyDescent="0.2">
      <c r="A246" s="1"/>
      <c r="C246" s="4"/>
      <c r="D246" s="8"/>
      <c r="E246" s="4"/>
      <c r="F246" s="8"/>
      <c r="G246" s="4"/>
      <c r="H246" s="8"/>
      <c r="I246" s="4"/>
    </row>
    <row r="247" spans="1:9" x14ac:dyDescent="0.2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2">
      <c r="A248" s="2">
        <v>1</v>
      </c>
      <c r="B248" s="1" t="s">
        <v>97</v>
      </c>
      <c r="C248" s="4">
        <v>237</v>
      </c>
      <c r="D248" s="8">
        <v>15.73</v>
      </c>
      <c r="E248" s="4">
        <v>205</v>
      </c>
      <c r="F248" s="8">
        <v>22.73</v>
      </c>
      <c r="G248" s="4">
        <v>32</v>
      </c>
      <c r="H248" s="8">
        <v>5.42</v>
      </c>
      <c r="I248" s="4">
        <v>0</v>
      </c>
    </row>
    <row r="249" spans="1:9" x14ac:dyDescent="0.2">
      <c r="A249" s="2">
        <v>2</v>
      </c>
      <c r="B249" s="1" t="s">
        <v>98</v>
      </c>
      <c r="C249" s="4">
        <v>185</v>
      </c>
      <c r="D249" s="8">
        <v>12.28</v>
      </c>
      <c r="E249" s="4">
        <v>170</v>
      </c>
      <c r="F249" s="8">
        <v>18.850000000000001</v>
      </c>
      <c r="G249" s="4">
        <v>15</v>
      </c>
      <c r="H249" s="8">
        <v>2.54</v>
      </c>
      <c r="I249" s="4">
        <v>0</v>
      </c>
    </row>
    <row r="250" spans="1:9" x14ac:dyDescent="0.2">
      <c r="A250" s="2">
        <v>3</v>
      </c>
      <c r="B250" s="1" t="s">
        <v>92</v>
      </c>
      <c r="C250" s="4">
        <v>110</v>
      </c>
      <c r="D250" s="8">
        <v>7.3</v>
      </c>
      <c r="E250" s="4">
        <v>56</v>
      </c>
      <c r="F250" s="8">
        <v>6.21</v>
      </c>
      <c r="G250" s="4">
        <v>54</v>
      </c>
      <c r="H250" s="8">
        <v>9.15</v>
      </c>
      <c r="I250" s="4">
        <v>0</v>
      </c>
    </row>
    <row r="251" spans="1:9" x14ac:dyDescent="0.2">
      <c r="A251" s="2">
        <v>4</v>
      </c>
      <c r="B251" s="1" t="s">
        <v>84</v>
      </c>
      <c r="C251" s="4">
        <v>94</v>
      </c>
      <c r="D251" s="8">
        <v>6.24</v>
      </c>
      <c r="E251" s="4">
        <v>47</v>
      </c>
      <c r="F251" s="8">
        <v>5.21</v>
      </c>
      <c r="G251" s="4">
        <v>47</v>
      </c>
      <c r="H251" s="8">
        <v>7.97</v>
      </c>
      <c r="I251" s="4">
        <v>0</v>
      </c>
    </row>
    <row r="252" spans="1:9" x14ac:dyDescent="0.2">
      <c r="A252" s="2">
        <v>5</v>
      </c>
      <c r="B252" s="1" t="s">
        <v>90</v>
      </c>
      <c r="C252" s="4">
        <v>92</v>
      </c>
      <c r="D252" s="8">
        <v>6.1</v>
      </c>
      <c r="E252" s="4">
        <v>65</v>
      </c>
      <c r="F252" s="8">
        <v>7.21</v>
      </c>
      <c r="G252" s="4">
        <v>27</v>
      </c>
      <c r="H252" s="8">
        <v>4.58</v>
      </c>
      <c r="I252" s="4">
        <v>0</v>
      </c>
    </row>
    <row r="253" spans="1:9" x14ac:dyDescent="0.2">
      <c r="A253" s="2">
        <v>6</v>
      </c>
      <c r="B253" s="1" t="s">
        <v>100</v>
      </c>
      <c r="C253" s="4">
        <v>63</v>
      </c>
      <c r="D253" s="8">
        <v>4.18</v>
      </c>
      <c r="E253" s="4">
        <v>39</v>
      </c>
      <c r="F253" s="8">
        <v>4.32</v>
      </c>
      <c r="G253" s="4">
        <v>12</v>
      </c>
      <c r="H253" s="8">
        <v>2.0299999999999998</v>
      </c>
      <c r="I253" s="4">
        <v>0</v>
      </c>
    </row>
    <row r="254" spans="1:9" x14ac:dyDescent="0.2">
      <c r="A254" s="2">
        <v>7</v>
      </c>
      <c r="B254" s="1" t="s">
        <v>94</v>
      </c>
      <c r="C254" s="4">
        <v>58</v>
      </c>
      <c r="D254" s="8">
        <v>3.85</v>
      </c>
      <c r="E254" s="4">
        <v>28</v>
      </c>
      <c r="F254" s="8">
        <v>3.1</v>
      </c>
      <c r="G254" s="4">
        <v>30</v>
      </c>
      <c r="H254" s="8">
        <v>5.08</v>
      </c>
      <c r="I254" s="4">
        <v>0</v>
      </c>
    </row>
    <row r="255" spans="1:9" x14ac:dyDescent="0.2">
      <c r="A255" s="2">
        <v>8</v>
      </c>
      <c r="B255" s="1" t="s">
        <v>85</v>
      </c>
      <c r="C255" s="4">
        <v>57</v>
      </c>
      <c r="D255" s="8">
        <v>3.78</v>
      </c>
      <c r="E255" s="4">
        <v>30</v>
      </c>
      <c r="F255" s="8">
        <v>3.33</v>
      </c>
      <c r="G255" s="4">
        <v>27</v>
      </c>
      <c r="H255" s="8">
        <v>4.58</v>
      </c>
      <c r="I255" s="4">
        <v>0</v>
      </c>
    </row>
    <row r="256" spans="1:9" x14ac:dyDescent="0.2">
      <c r="A256" s="2">
        <v>9</v>
      </c>
      <c r="B256" s="1" t="s">
        <v>111</v>
      </c>
      <c r="C256" s="4">
        <v>52</v>
      </c>
      <c r="D256" s="8">
        <v>3.45</v>
      </c>
      <c r="E256" s="4">
        <v>36</v>
      </c>
      <c r="F256" s="8">
        <v>3.99</v>
      </c>
      <c r="G256" s="4">
        <v>16</v>
      </c>
      <c r="H256" s="8">
        <v>2.71</v>
      </c>
      <c r="I256" s="4">
        <v>0</v>
      </c>
    </row>
    <row r="257" spans="1:9" x14ac:dyDescent="0.2">
      <c r="A257" s="2">
        <v>10</v>
      </c>
      <c r="B257" s="1" t="s">
        <v>101</v>
      </c>
      <c r="C257" s="4">
        <v>48</v>
      </c>
      <c r="D257" s="8">
        <v>3.19</v>
      </c>
      <c r="E257" s="4">
        <v>42</v>
      </c>
      <c r="F257" s="8">
        <v>4.66</v>
      </c>
      <c r="G257" s="4">
        <v>6</v>
      </c>
      <c r="H257" s="8">
        <v>1.02</v>
      </c>
      <c r="I257" s="4">
        <v>0</v>
      </c>
    </row>
    <row r="258" spans="1:9" x14ac:dyDescent="0.2">
      <c r="A258" s="2">
        <v>11</v>
      </c>
      <c r="B258" s="1" t="s">
        <v>86</v>
      </c>
      <c r="C258" s="4">
        <v>46</v>
      </c>
      <c r="D258" s="8">
        <v>3.05</v>
      </c>
      <c r="E258" s="4">
        <v>16</v>
      </c>
      <c r="F258" s="8">
        <v>1.77</v>
      </c>
      <c r="G258" s="4">
        <v>30</v>
      </c>
      <c r="H258" s="8">
        <v>5.08</v>
      </c>
      <c r="I258" s="4">
        <v>0</v>
      </c>
    </row>
    <row r="259" spans="1:9" x14ac:dyDescent="0.2">
      <c r="A259" s="2">
        <v>11</v>
      </c>
      <c r="B259" s="1" t="s">
        <v>91</v>
      </c>
      <c r="C259" s="4">
        <v>46</v>
      </c>
      <c r="D259" s="8">
        <v>3.05</v>
      </c>
      <c r="E259" s="4">
        <v>23</v>
      </c>
      <c r="F259" s="8">
        <v>2.5499999999999998</v>
      </c>
      <c r="G259" s="4">
        <v>23</v>
      </c>
      <c r="H259" s="8">
        <v>3.9</v>
      </c>
      <c r="I259" s="4">
        <v>0</v>
      </c>
    </row>
    <row r="260" spans="1:9" x14ac:dyDescent="0.2">
      <c r="A260" s="2">
        <v>13</v>
      </c>
      <c r="B260" s="1" t="s">
        <v>89</v>
      </c>
      <c r="C260" s="4">
        <v>37</v>
      </c>
      <c r="D260" s="8">
        <v>2.46</v>
      </c>
      <c r="E260" s="4">
        <v>16</v>
      </c>
      <c r="F260" s="8">
        <v>1.77</v>
      </c>
      <c r="G260" s="4">
        <v>21</v>
      </c>
      <c r="H260" s="8">
        <v>3.56</v>
      </c>
      <c r="I260" s="4">
        <v>0</v>
      </c>
    </row>
    <row r="261" spans="1:9" x14ac:dyDescent="0.2">
      <c r="A261" s="2">
        <v>14</v>
      </c>
      <c r="B261" s="1" t="s">
        <v>95</v>
      </c>
      <c r="C261" s="4">
        <v>31</v>
      </c>
      <c r="D261" s="8">
        <v>2.06</v>
      </c>
      <c r="E261" s="4">
        <v>22</v>
      </c>
      <c r="F261" s="8">
        <v>2.44</v>
      </c>
      <c r="G261" s="4">
        <v>9</v>
      </c>
      <c r="H261" s="8">
        <v>1.53</v>
      </c>
      <c r="I261" s="4">
        <v>0</v>
      </c>
    </row>
    <row r="262" spans="1:9" x14ac:dyDescent="0.2">
      <c r="A262" s="2">
        <v>15</v>
      </c>
      <c r="B262" s="1" t="s">
        <v>93</v>
      </c>
      <c r="C262" s="4">
        <v>29</v>
      </c>
      <c r="D262" s="8">
        <v>1.92</v>
      </c>
      <c r="E262" s="4">
        <v>3</v>
      </c>
      <c r="F262" s="8">
        <v>0.33</v>
      </c>
      <c r="G262" s="4">
        <v>26</v>
      </c>
      <c r="H262" s="8">
        <v>4.41</v>
      </c>
      <c r="I262" s="4">
        <v>0</v>
      </c>
    </row>
    <row r="263" spans="1:9" x14ac:dyDescent="0.2">
      <c r="A263" s="2">
        <v>16</v>
      </c>
      <c r="B263" s="1" t="s">
        <v>103</v>
      </c>
      <c r="C263" s="4">
        <v>26</v>
      </c>
      <c r="D263" s="8">
        <v>1.73</v>
      </c>
      <c r="E263" s="4">
        <v>13</v>
      </c>
      <c r="F263" s="8">
        <v>1.44</v>
      </c>
      <c r="G263" s="4">
        <v>13</v>
      </c>
      <c r="H263" s="8">
        <v>2.2000000000000002</v>
      </c>
      <c r="I263" s="4">
        <v>0</v>
      </c>
    </row>
    <row r="264" spans="1:9" x14ac:dyDescent="0.2">
      <c r="A264" s="2">
        <v>17</v>
      </c>
      <c r="B264" s="1" t="s">
        <v>109</v>
      </c>
      <c r="C264" s="4">
        <v>23</v>
      </c>
      <c r="D264" s="8">
        <v>1.53</v>
      </c>
      <c r="E264" s="4">
        <v>6</v>
      </c>
      <c r="F264" s="8">
        <v>0.67</v>
      </c>
      <c r="G264" s="4">
        <v>17</v>
      </c>
      <c r="H264" s="8">
        <v>2.88</v>
      </c>
      <c r="I264" s="4">
        <v>0</v>
      </c>
    </row>
    <row r="265" spans="1:9" x14ac:dyDescent="0.2">
      <c r="A265" s="2">
        <v>18</v>
      </c>
      <c r="B265" s="1" t="s">
        <v>96</v>
      </c>
      <c r="C265" s="4">
        <v>21</v>
      </c>
      <c r="D265" s="8">
        <v>1.39</v>
      </c>
      <c r="E265" s="4">
        <v>10</v>
      </c>
      <c r="F265" s="8">
        <v>1.1100000000000001</v>
      </c>
      <c r="G265" s="4">
        <v>11</v>
      </c>
      <c r="H265" s="8">
        <v>1.86</v>
      </c>
      <c r="I265" s="4">
        <v>0</v>
      </c>
    </row>
    <row r="266" spans="1:9" x14ac:dyDescent="0.2">
      <c r="A266" s="2">
        <v>18</v>
      </c>
      <c r="B266" s="1" t="s">
        <v>102</v>
      </c>
      <c r="C266" s="4">
        <v>21</v>
      </c>
      <c r="D266" s="8">
        <v>1.39</v>
      </c>
      <c r="E266" s="4">
        <v>0</v>
      </c>
      <c r="F266" s="8">
        <v>0</v>
      </c>
      <c r="G266" s="4">
        <v>21</v>
      </c>
      <c r="H266" s="8">
        <v>3.56</v>
      </c>
      <c r="I266" s="4">
        <v>0</v>
      </c>
    </row>
    <row r="267" spans="1:9" x14ac:dyDescent="0.2">
      <c r="A267" s="2">
        <v>20</v>
      </c>
      <c r="B267" s="1" t="s">
        <v>112</v>
      </c>
      <c r="C267" s="4">
        <v>18</v>
      </c>
      <c r="D267" s="8">
        <v>1.19</v>
      </c>
      <c r="E267" s="4">
        <v>9</v>
      </c>
      <c r="F267" s="8">
        <v>1</v>
      </c>
      <c r="G267" s="4">
        <v>7</v>
      </c>
      <c r="H267" s="8">
        <v>1.19</v>
      </c>
      <c r="I267" s="4">
        <v>0</v>
      </c>
    </row>
    <row r="268" spans="1:9" x14ac:dyDescent="0.2">
      <c r="A268" s="1"/>
      <c r="C268" s="4"/>
      <c r="D268" s="8"/>
      <c r="E268" s="4"/>
      <c r="F268" s="8"/>
      <c r="G268" s="4"/>
      <c r="H268" s="8"/>
      <c r="I268" s="4"/>
    </row>
    <row r="269" spans="1:9" x14ac:dyDescent="0.2">
      <c r="A269" s="1" t="s">
        <v>12</v>
      </c>
      <c r="C269" s="4"/>
      <c r="D269" s="8"/>
      <c r="E269" s="4"/>
      <c r="F269" s="8"/>
      <c r="G269" s="4"/>
      <c r="H269" s="8"/>
      <c r="I269" s="4"/>
    </row>
    <row r="270" spans="1:9" x14ac:dyDescent="0.2">
      <c r="A270" s="2">
        <v>1</v>
      </c>
      <c r="B270" s="1" t="s">
        <v>97</v>
      </c>
      <c r="C270" s="4">
        <v>376</v>
      </c>
      <c r="D270" s="8">
        <v>13.26</v>
      </c>
      <c r="E270" s="4">
        <v>314</v>
      </c>
      <c r="F270" s="8">
        <v>26.43</v>
      </c>
      <c r="G270" s="4">
        <v>62</v>
      </c>
      <c r="H270" s="8">
        <v>3.79</v>
      </c>
      <c r="I270" s="4">
        <v>0</v>
      </c>
    </row>
    <row r="271" spans="1:9" x14ac:dyDescent="0.2">
      <c r="A271" s="2">
        <v>2</v>
      </c>
      <c r="B271" s="1" t="s">
        <v>98</v>
      </c>
      <c r="C271" s="4">
        <v>340</v>
      </c>
      <c r="D271" s="8">
        <v>11.99</v>
      </c>
      <c r="E271" s="4">
        <v>279</v>
      </c>
      <c r="F271" s="8">
        <v>23.48</v>
      </c>
      <c r="G271" s="4">
        <v>61</v>
      </c>
      <c r="H271" s="8">
        <v>3.73</v>
      </c>
      <c r="I271" s="4">
        <v>0</v>
      </c>
    </row>
    <row r="272" spans="1:9" x14ac:dyDescent="0.2">
      <c r="A272" s="2">
        <v>3</v>
      </c>
      <c r="B272" s="1" t="s">
        <v>92</v>
      </c>
      <c r="C272" s="4">
        <v>197</v>
      </c>
      <c r="D272" s="8">
        <v>6.95</v>
      </c>
      <c r="E272" s="4">
        <v>68</v>
      </c>
      <c r="F272" s="8">
        <v>5.72</v>
      </c>
      <c r="G272" s="4">
        <v>129</v>
      </c>
      <c r="H272" s="8">
        <v>7.89</v>
      </c>
      <c r="I272" s="4">
        <v>0</v>
      </c>
    </row>
    <row r="273" spans="1:9" x14ac:dyDescent="0.2">
      <c r="A273" s="2">
        <v>4</v>
      </c>
      <c r="B273" s="1" t="s">
        <v>84</v>
      </c>
      <c r="C273" s="4">
        <v>190</v>
      </c>
      <c r="D273" s="8">
        <v>6.7</v>
      </c>
      <c r="E273" s="4">
        <v>24</v>
      </c>
      <c r="F273" s="8">
        <v>2.02</v>
      </c>
      <c r="G273" s="4">
        <v>166</v>
      </c>
      <c r="H273" s="8">
        <v>10.16</v>
      </c>
      <c r="I273" s="4">
        <v>0</v>
      </c>
    </row>
    <row r="274" spans="1:9" x14ac:dyDescent="0.2">
      <c r="A274" s="2">
        <v>5</v>
      </c>
      <c r="B274" s="1" t="s">
        <v>85</v>
      </c>
      <c r="C274" s="4">
        <v>151</v>
      </c>
      <c r="D274" s="8">
        <v>5.33</v>
      </c>
      <c r="E274" s="4">
        <v>41</v>
      </c>
      <c r="F274" s="8">
        <v>3.45</v>
      </c>
      <c r="G274" s="4">
        <v>110</v>
      </c>
      <c r="H274" s="8">
        <v>6.73</v>
      </c>
      <c r="I274" s="4">
        <v>0</v>
      </c>
    </row>
    <row r="275" spans="1:9" x14ac:dyDescent="0.2">
      <c r="A275" s="2">
        <v>6</v>
      </c>
      <c r="B275" s="1" t="s">
        <v>86</v>
      </c>
      <c r="C275" s="4">
        <v>140</v>
      </c>
      <c r="D275" s="8">
        <v>4.9400000000000004</v>
      </c>
      <c r="E275" s="4">
        <v>14</v>
      </c>
      <c r="F275" s="8">
        <v>1.18</v>
      </c>
      <c r="G275" s="4">
        <v>126</v>
      </c>
      <c r="H275" s="8">
        <v>7.71</v>
      </c>
      <c r="I275" s="4">
        <v>0</v>
      </c>
    </row>
    <row r="276" spans="1:9" x14ac:dyDescent="0.2">
      <c r="A276" s="2">
        <v>7</v>
      </c>
      <c r="B276" s="1" t="s">
        <v>89</v>
      </c>
      <c r="C276" s="4">
        <v>128</v>
      </c>
      <c r="D276" s="8">
        <v>4.51</v>
      </c>
      <c r="E276" s="4">
        <v>27</v>
      </c>
      <c r="F276" s="8">
        <v>2.27</v>
      </c>
      <c r="G276" s="4">
        <v>101</v>
      </c>
      <c r="H276" s="8">
        <v>6.18</v>
      </c>
      <c r="I276" s="4">
        <v>0</v>
      </c>
    </row>
    <row r="277" spans="1:9" x14ac:dyDescent="0.2">
      <c r="A277" s="2">
        <v>8</v>
      </c>
      <c r="B277" s="1" t="s">
        <v>94</v>
      </c>
      <c r="C277" s="4">
        <v>119</v>
      </c>
      <c r="D277" s="8">
        <v>4.2</v>
      </c>
      <c r="E277" s="4">
        <v>18</v>
      </c>
      <c r="F277" s="8">
        <v>1.52</v>
      </c>
      <c r="G277" s="4">
        <v>101</v>
      </c>
      <c r="H277" s="8">
        <v>6.18</v>
      </c>
      <c r="I277" s="4">
        <v>0</v>
      </c>
    </row>
    <row r="278" spans="1:9" x14ac:dyDescent="0.2">
      <c r="A278" s="2">
        <v>9</v>
      </c>
      <c r="B278" s="1" t="s">
        <v>90</v>
      </c>
      <c r="C278" s="4">
        <v>95</v>
      </c>
      <c r="D278" s="8">
        <v>3.35</v>
      </c>
      <c r="E278" s="4">
        <v>66</v>
      </c>
      <c r="F278" s="8">
        <v>5.56</v>
      </c>
      <c r="G278" s="4">
        <v>29</v>
      </c>
      <c r="H278" s="8">
        <v>1.77</v>
      </c>
      <c r="I278" s="4">
        <v>0</v>
      </c>
    </row>
    <row r="279" spans="1:9" x14ac:dyDescent="0.2">
      <c r="A279" s="2">
        <v>10</v>
      </c>
      <c r="B279" s="1" t="s">
        <v>101</v>
      </c>
      <c r="C279" s="4">
        <v>92</v>
      </c>
      <c r="D279" s="8">
        <v>3.25</v>
      </c>
      <c r="E279" s="4">
        <v>79</v>
      </c>
      <c r="F279" s="8">
        <v>6.65</v>
      </c>
      <c r="G279" s="4">
        <v>13</v>
      </c>
      <c r="H279" s="8">
        <v>0.8</v>
      </c>
      <c r="I279" s="4">
        <v>0</v>
      </c>
    </row>
    <row r="280" spans="1:9" x14ac:dyDescent="0.2">
      <c r="A280" s="2">
        <v>11</v>
      </c>
      <c r="B280" s="1" t="s">
        <v>100</v>
      </c>
      <c r="C280" s="4">
        <v>91</v>
      </c>
      <c r="D280" s="8">
        <v>3.21</v>
      </c>
      <c r="E280" s="4">
        <v>57</v>
      </c>
      <c r="F280" s="8">
        <v>4.8</v>
      </c>
      <c r="G280" s="4">
        <v>24</v>
      </c>
      <c r="H280" s="8">
        <v>1.47</v>
      </c>
      <c r="I280" s="4">
        <v>0</v>
      </c>
    </row>
    <row r="281" spans="1:9" x14ac:dyDescent="0.2">
      <c r="A281" s="2">
        <v>12</v>
      </c>
      <c r="B281" s="1" t="s">
        <v>95</v>
      </c>
      <c r="C281" s="4">
        <v>85</v>
      </c>
      <c r="D281" s="8">
        <v>3</v>
      </c>
      <c r="E281" s="4">
        <v>52</v>
      </c>
      <c r="F281" s="8">
        <v>4.38</v>
      </c>
      <c r="G281" s="4">
        <v>33</v>
      </c>
      <c r="H281" s="8">
        <v>2.02</v>
      </c>
      <c r="I281" s="4">
        <v>0</v>
      </c>
    </row>
    <row r="282" spans="1:9" x14ac:dyDescent="0.2">
      <c r="A282" s="2">
        <v>13</v>
      </c>
      <c r="B282" s="1" t="s">
        <v>91</v>
      </c>
      <c r="C282" s="4">
        <v>81</v>
      </c>
      <c r="D282" s="8">
        <v>2.86</v>
      </c>
      <c r="E282" s="4">
        <v>25</v>
      </c>
      <c r="F282" s="8">
        <v>2.1</v>
      </c>
      <c r="G282" s="4">
        <v>56</v>
      </c>
      <c r="H282" s="8">
        <v>3.43</v>
      </c>
      <c r="I282" s="4">
        <v>0</v>
      </c>
    </row>
    <row r="283" spans="1:9" x14ac:dyDescent="0.2">
      <c r="A283" s="2">
        <v>14</v>
      </c>
      <c r="B283" s="1" t="s">
        <v>93</v>
      </c>
      <c r="C283" s="4">
        <v>57</v>
      </c>
      <c r="D283" s="8">
        <v>2.0099999999999998</v>
      </c>
      <c r="E283" s="4">
        <v>1</v>
      </c>
      <c r="F283" s="8">
        <v>0.08</v>
      </c>
      <c r="G283" s="4">
        <v>56</v>
      </c>
      <c r="H283" s="8">
        <v>3.43</v>
      </c>
      <c r="I283" s="4">
        <v>0</v>
      </c>
    </row>
    <row r="284" spans="1:9" x14ac:dyDescent="0.2">
      <c r="A284" s="2">
        <v>14</v>
      </c>
      <c r="B284" s="1" t="s">
        <v>96</v>
      </c>
      <c r="C284" s="4">
        <v>57</v>
      </c>
      <c r="D284" s="8">
        <v>2.0099999999999998</v>
      </c>
      <c r="E284" s="4">
        <v>13</v>
      </c>
      <c r="F284" s="8">
        <v>1.0900000000000001</v>
      </c>
      <c r="G284" s="4">
        <v>43</v>
      </c>
      <c r="H284" s="8">
        <v>2.63</v>
      </c>
      <c r="I284" s="4">
        <v>0</v>
      </c>
    </row>
    <row r="285" spans="1:9" x14ac:dyDescent="0.2">
      <c r="A285" s="2">
        <v>16</v>
      </c>
      <c r="B285" s="1" t="s">
        <v>102</v>
      </c>
      <c r="C285" s="4">
        <v>50</v>
      </c>
      <c r="D285" s="8">
        <v>1.76</v>
      </c>
      <c r="E285" s="4">
        <v>5</v>
      </c>
      <c r="F285" s="8">
        <v>0.42</v>
      </c>
      <c r="G285" s="4">
        <v>44</v>
      </c>
      <c r="H285" s="8">
        <v>2.69</v>
      </c>
      <c r="I285" s="4">
        <v>0</v>
      </c>
    </row>
    <row r="286" spans="1:9" x14ac:dyDescent="0.2">
      <c r="A286" s="2">
        <v>17</v>
      </c>
      <c r="B286" s="1" t="s">
        <v>87</v>
      </c>
      <c r="C286" s="4">
        <v>42</v>
      </c>
      <c r="D286" s="8">
        <v>1.48</v>
      </c>
      <c r="E286" s="4">
        <v>1</v>
      </c>
      <c r="F286" s="8">
        <v>0.08</v>
      </c>
      <c r="G286" s="4">
        <v>41</v>
      </c>
      <c r="H286" s="8">
        <v>2.5099999999999998</v>
      </c>
      <c r="I286" s="4">
        <v>0</v>
      </c>
    </row>
    <row r="287" spans="1:9" x14ac:dyDescent="0.2">
      <c r="A287" s="2">
        <v>18</v>
      </c>
      <c r="B287" s="1" t="s">
        <v>103</v>
      </c>
      <c r="C287" s="4">
        <v>41</v>
      </c>
      <c r="D287" s="8">
        <v>1.45</v>
      </c>
      <c r="E287" s="4">
        <v>26</v>
      </c>
      <c r="F287" s="8">
        <v>2.19</v>
      </c>
      <c r="G287" s="4">
        <v>15</v>
      </c>
      <c r="H287" s="8">
        <v>0.92</v>
      </c>
      <c r="I287" s="4">
        <v>0</v>
      </c>
    </row>
    <row r="288" spans="1:9" x14ac:dyDescent="0.2">
      <c r="A288" s="2">
        <v>19</v>
      </c>
      <c r="B288" s="1" t="s">
        <v>88</v>
      </c>
      <c r="C288" s="4">
        <v>38</v>
      </c>
      <c r="D288" s="8">
        <v>1.34</v>
      </c>
      <c r="E288" s="4">
        <v>0</v>
      </c>
      <c r="F288" s="8">
        <v>0</v>
      </c>
      <c r="G288" s="4">
        <v>38</v>
      </c>
      <c r="H288" s="8">
        <v>2.33</v>
      </c>
      <c r="I288" s="4">
        <v>0</v>
      </c>
    </row>
    <row r="289" spans="1:9" x14ac:dyDescent="0.2">
      <c r="A289" s="2">
        <v>20</v>
      </c>
      <c r="B289" s="1" t="s">
        <v>104</v>
      </c>
      <c r="C289" s="4">
        <v>35</v>
      </c>
      <c r="D289" s="8">
        <v>1.23</v>
      </c>
      <c r="E289" s="4">
        <v>4</v>
      </c>
      <c r="F289" s="8">
        <v>0.34</v>
      </c>
      <c r="G289" s="4">
        <v>31</v>
      </c>
      <c r="H289" s="8">
        <v>1.9</v>
      </c>
      <c r="I289" s="4">
        <v>0</v>
      </c>
    </row>
    <row r="290" spans="1:9" x14ac:dyDescent="0.2">
      <c r="A290" s="1"/>
      <c r="C290" s="4"/>
      <c r="D290" s="8"/>
      <c r="E290" s="4"/>
      <c r="F290" s="8"/>
      <c r="G290" s="4"/>
      <c r="H290" s="8"/>
      <c r="I290" s="4"/>
    </row>
    <row r="291" spans="1:9" x14ac:dyDescent="0.2">
      <c r="A291" s="1" t="s">
        <v>13</v>
      </c>
      <c r="C291" s="4"/>
      <c r="D291" s="8"/>
      <c r="E291" s="4"/>
      <c r="F291" s="8"/>
      <c r="G291" s="4"/>
      <c r="H291" s="8"/>
      <c r="I291" s="4"/>
    </row>
    <row r="292" spans="1:9" x14ac:dyDescent="0.2">
      <c r="A292" s="2">
        <v>1</v>
      </c>
      <c r="B292" s="1" t="s">
        <v>98</v>
      </c>
      <c r="C292" s="4">
        <v>815</v>
      </c>
      <c r="D292" s="8">
        <v>10.93</v>
      </c>
      <c r="E292" s="4">
        <v>648</v>
      </c>
      <c r="F292" s="8">
        <v>21.56</v>
      </c>
      <c r="G292" s="4">
        <v>167</v>
      </c>
      <c r="H292" s="8">
        <v>3.77</v>
      </c>
      <c r="I292" s="4">
        <v>0</v>
      </c>
    </row>
    <row r="293" spans="1:9" x14ac:dyDescent="0.2">
      <c r="A293" s="2">
        <v>2</v>
      </c>
      <c r="B293" s="1" t="s">
        <v>97</v>
      </c>
      <c r="C293" s="4">
        <v>803</v>
      </c>
      <c r="D293" s="8">
        <v>10.77</v>
      </c>
      <c r="E293" s="4">
        <v>670</v>
      </c>
      <c r="F293" s="8">
        <v>22.29</v>
      </c>
      <c r="G293" s="4">
        <v>133</v>
      </c>
      <c r="H293" s="8">
        <v>3</v>
      </c>
      <c r="I293" s="4">
        <v>0</v>
      </c>
    </row>
    <row r="294" spans="1:9" x14ac:dyDescent="0.2">
      <c r="A294" s="2">
        <v>3</v>
      </c>
      <c r="B294" s="1" t="s">
        <v>94</v>
      </c>
      <c r="C294" s="4">
        <v>697</v>
      </c>
      <c r="D294" s="8">
        <v>9.34</v>
      </c>
      <c r="E294" s="4">
        <v>201</v>
      </c>
      <c r="F294" s="8">
        <v>6.69</v>
      </c>
      <c r="G294" s="4">
        <v>494</v>
      </c>
      <c r="H294" s="8">
        <v>11.16</v>
      </c>
      <c r="I294" s="4">
        <v>2</v>
      </c>
    </row>
    <row r="295" spans="1:9" x14ac:dyDescent="0.2">
      <c r="A295" s="2">
        <v>4</v>
      </c>
      <c r="B295" s="1" t="s">
        <v>85</v>
      </c>
      <c r="C295" s="4">
        <v>393</v>
      </c>
      <c r="D295" s="8">
        <v>5.27</v>
      </c>
      <c r="E295" s="4">
        <v>62</v>
      </c>
      <c r="F295" s="8">
        <v>2.06</v>
      </c>
      <c r="G295" s="4">
        <v>331</v>
      </c>
      <c r="H295" s="8">
        <v>7.48</v>
      </c>
      <c r="I295" s="4">
        <v>0</v>
      </c>
    </row>
    <row r="296" spans="1:9" x14ac:dyDescent="0.2">
      <c r="A296" s="2">
        <v>5</v>
      </c>
      <c r="B296" s="1" t="s">
        <v>92</v>
      </c>
      <c r="C296" s="4">
        <v>372</v>
      </c>
      <c r="D296" s="8">
        <v>4.99</v>
      </c>
      <c r="E296" s="4">
        <v>148</v>
      </c>
      <c r="F296" s="8">
        <v>4.92</v>
      </c>
      <c r="G296" s="4">
        <v>224</v>
      </c>
      <c r="H296" s="8">
        <v>5.0599999999999996</v>
      </c>
      <c r="I296" s="4">
        <v>0</v>
      </c>
    </row>
    <row r="297" spans="1:9" x14ac:dyDescent="0.2">
      <c r="A297" s="2">
        <v>6</v>
      </c>
      <c r="B297" s="1" t="s">
        <v>84</v>
      </c>
      <c r="C297" s="4">
        <v>354</v>
      </c>
      <c r="D297" s="8">
        <v>4.75</v>
      </c>
      <c r="E297" s="4">
        <v>33</v>
      </c>
      <c r="F297" s="8">
        <v>1.1000000000000001</v>
      </c>
      <c r="G297" s="4">
        <v>321</v>
      </c>
      <c r="H297" s="8">
        <v>7.25</v>
      </c>
      <c r="I297" s="4">
        <v>0</v>
      </c>
    </row>
    <row r="298" spans="1:9" x14ac:dyDescent="0.2">
      <c r="A298" s="2">
        <v>7</v>
      </c>
      <c r="B298" s="1" t="s">
        <v>101</v>
      </c>
      <c r="C298" s="4">
        <v>351</v>
      </c>
      <c r="D298" s="8">
        <v>4.71</v>
      </c>
      <c r="E298" s="4">
        <v>282</v>
      </c>
      <c r="F298" s="8">
        <v>9.3800000000000008</v>
      </c>
      <c r="G298" s="4">
        <v>69</v>
      </c>
      <c r="H298" s="8">
        <v>1.56</v>
      </c>
      <c r="I298" s="4">
        <v>0</v>
      </c>
    </row>
    <row r="299" spans="1:9" x14ac:dyDescent="0.2">
      <c r="A299" s="2">
        <v>8</v>
      </c>
      <c r="B299" s="1" t="s">
        <v>100</v>
      </c>
      <c r="C299" s="4">
        <v>311</v>
      </c>
      <c r="D299" s="8">
        <v>4.17</v>
      </c>
      <c r="E299" s="4">
        <v>191</v>
      </c>
      <c r="F299" s="8">
        <v>6.35</v>
      </c>
      <c r="G299" s="4">
        <v>107</v>
      </c>
      <c r="H299" s="8">
        <v>2.42</v>
      </c>
      <c r="I299" s="4">
        <v>0</v>
      </c>
    </row>
    <row r="300" spans="1:9" x14ac:dyDescent="0.2">
      <c r="A300" s="2">
        <v>9</v>
      </c>
      <c r="B300" s="1" t="s">
        <v>90</v>
      </c>
      <c r="C300" s="4">
        <v>274</v>
      </c>
      <c r="D300" s="8">
        <v>3.67</v>
      </c>
      <c r="E300" s="4">
        <v>149</v>
      </c>
      <c r="F300" s="8">
        <v>4.96</v>
      </c>
      <c r="G300" s="4">
        <v>125</v>
      </c>
      <c r="H300" s="8">
        <v>2.82</v>
      </c>
      <c r="I300" s="4">
        <v>0</v>
      </c>
    </row>
    <row r="301" spans="1:9" x14ac:dyDescent="0.2">
      <c r="A301" s="2">
        <v>10</v>
      </c>
      <c r="B301" s="1" t="s">
        <v>86</v>
      </c>
      <c r="C301" s="4">
        <v>270</v>
      </c>
      <c r="D301" s="8">
        <v>3.62</v>
      </c>
      <c r="E301" s="4">
        <v>17</v>
      </c>
      <c r="F301" s="8">
        <v>0.56999999999999995</v>
      </c>
      <c r="G301" s="4">
        <v>253</v>
      </c>
      <c r="H301" s="8">
        <v>5.71</v>
      </c>
      <c r="I301" s="4">
        <v>0</v>
      </c>
    </row>
    <row r="302" spans="1:9" x14ac:dyDescent="0.2">
      <c r="A302" s="2">
        <v>11</v>
      </c>
      <c r="B302" s="1" t="s">
        <v>95</v>
      </c>
      <c r="C302" s="4">
        <v>262</v>
      </c>
      <c r="D302" s="8">
        <v>3.51</v>
      </c>
      <c r="E302" s="4">
        <v>126</v>
      </c>
      <c r="F302" s="8">
        <v>4.1900000000000004</v>
      </c>
      <c r="G302" s="4">
        <v>136</v>
      </c>
      <c r="H302" s="8">
        <v>3.07</v>
      </c>
      <c r="I302" s="4">
        <v>0</v>
      </c>
    </row>
    <row r="303" spans="1:9" x14ac:dyDescent="0.2">
      <c r="A303" s="2">
        <v>12</v>
      </c>
      <c r="B303" s="1" t="s">
        <v>93</v>
      </c>
      <c r="C303" s="4">
        <v>196</v>
      </c>
      <c r="D303" s="8">
        <v>2.63</v>
      </c>
      <c r="E303" s="4">
        <v>10</v>
      </c>
      <c r="F303" s="8">
        <v>0.33</v>
      </c>
      <c r="G303" s="4">
        <v>186</v>
      </c>
      <c r="H303" s="8">
        <v>4.2</v>
      </c>
      <c r="I303" s="4">
        <v>0</v>
      </c>
    </row>
    <row r="304" spans="1:9" x14ac:dyDescent="0.2">
      <c r="A304" s="2">
        <v>13</v>
      </c>
      <c r="B304" s="1" t="s">
        <v>91</v>
      </c>
      <c r="C304" s="4">
        <v>168</v>
      </c>
      <c r="D304" s="8">
        <v>2.25</v>
      </c>
      <c r="E304" s="4">
        <v>65</v>
      </c>
      <c r="F304" s="8">
        <v>2.16</v>
      </c>
      <c r="G304" s="4">
        <v>103</v>
      </c>
      <c r="H304" s="8">
        <v>2.33</v>
      </c>
      <c r="I304" s="4">
        <v>0</v>
      </c>
    </row>
    <row r="305" spans="1:9" x14ac:dyDescent="0.2">
      <c r="A305" s="2">
        <v>14</v>
      </c>
      <c r="B305" s="1" t="s">
        <v>96</v>
      </c>
      <c r="C305" s="4">
        <v>160</v>
      </c>
      <c r="D305" s="8">
        <v>2.15</v>
      </c>
      <c r="E305" s="4">
        <v>46</v>
      </c>
      <c r="F305" s="8">
        <v>1.53</v>
      </c>
      <c r="G305" s="4">
        <v>112</v>
      </c>
      <c r="H305" s="8">
        <v>2.5299999999999998</v>
      </c>
      <c r="I305" s="4">
        <v>1</v>
      </c>
    </row>
    <row r="306" spans="1:9" x14ac:dyDescent="0.2">
      <c r="A306" s="2">
        <v>15</v>
      </c>
      <c r="B306" s="1" t="s">
        <v>89</v>
      </c>
      <c r="C306" s="4">
        <v>151</v>
      </c>
      <c r="D306" s="8">
        <v>2.02</v>
      </c>
      <c r="E306" s="4">
        <v>59</v>
      </c>
      <c r="F306" s="8">
        <v>1.96</v>
      </c>
      <c r="G306" s="4">
        <v>92</v>
      </c>
      <c r="H306" s="8">
        <v>2.08</v>
      </c>
      <c r="I306" s="4">
        <v>0</v>
      </c>
    </row>
    <row r="307" spans="1:9" x14ac:dyDescent="0.2">
      <c r="A307" s="2">
        <v>16</v>
      </c>
      <c r="B307" s="1" t="s">
        <v>99</v>
      </c>
      <c r="C307" s="4">
        <v>137</v>
      </c>
      <c r="D307" s="8">
        <v>1.84</v>
      </c>
      <c r="E307" s="4">
        <v>44</v>
      </c>
      <c r="F307" s="8">
        <v>1.46</v>
      </c>
      <c r="G307" s="4">
        <v>92</v>
      </c>
      <c r="H307" s="8">
        <v>2.08</v>
      </c>
      <c r="I307" s="4">
        <v>1</v>
      </c>
    </row>
    <row r="308" spans="1:9" x14ac:dyDescent="0.2">
      <c r="A308" s="2">
        <v>17</v>
      </c>
      <c r="B308" s="1" t="s">
        <v>104</v>
      </c>
      <c r="C308" s="4">
        <v>134</v>
      </c>
      <c r="D308" s="8">
        <v>1.8</v>
      </c>
      <c r="E308" s="4">
        <v>10</v>
      </c>
      <c r="F308" s="8">
        <v>0.33</v>
      </c>
      <c r="G308" s="4">
        <v>124</v>
      </c>
      <c r="H308" s="8">
        <v>2.8</v>
      </c>
      <c r="I308" s="4">
        <v>0</v>
      </c>
    </row>
    <row r="309" spans="1:9" x14ac:dyDescent="0.2">
      <c r="A309" s="2">
        <v>18</v>
      </c>
      <c r="B309" s="1" t="s">
        <v>102</v>
      </c>
      <c r="C309" s="4">
        <v>109</v>
      </c>
      <c r="D309" s="8">
        <v>1.46</v>
      </c>
      <c r="E309" s="4">
        <v>2</v>
      </c>
      <c r="F309" s="8">
        <v>7.0000000000000007E-2</v>
      </c>
      <c r="G309" s="4">
        <v>105</v>
      </c>
      <c r="H309" s="8">
        <v>2.37</v>
      </c>
      <c r="I309" s="4">
        <v>0</v>
      </c>
    </row>
    <row r="310" spans="1:9" x14ac:dyDescent="0.2">
      <c r="A310" s="2">
        <v>19</v>
      </c>
      <c r="B310" s="1" t="s">
        <v>105</v>
      </c>
      <c r="C310" s="4">
        <v>107</v>
      </c>
      <c r="D310" s="8">
        <v>1.43</v>
      </c>
      <c r="E310" s="4">
        <v>4</v>
      </c>
      <c r="F310" s="8">
        <v>0.13</v>
      </c>
      <c r="G310" s="4">
        <v>103</v>
      </c>
      <c r="H310" s="8">
        <v>2.33</v>
      </c>
      <c r="I310" s="4">
        <v>0</v>
      </c>
    </row>
    <row r="311" spans="1:9" x14ac:dyDescent="0.2">
      <c r="A311" s="2">
        <v>20</v>
      </c>
      <c r="B311" s="1" t="s">
        <v>88</v>
      </c>
      <c r="C311" s="4">
        <v>101</v>
      </c>
      <c r="D311" s="8">
        <v>1.35</v>
      </c>
      <c r="E311" s="4">
        <v>5</v>
      </c>
      <c r="F311" s="8">
        <v>0.17</v>
      </c>
      <c r="G311" s="4">
        <v>96</v>
      </c>
      <c r="H311" s="8">
        <v>2.17</v>
      </c>
      <c r="I311" s="4">
        <v>0</v>
      </c>
    </row>
    <row r="312" spans="1:9" x14ac:dyDescent="0.2">
      <c r="A312" s="1"/>
      <c r="C312" s="4"/>
      <c r="D312" s="8"/>
      <c r="E312" s="4"/>
      <c r="F312" s="8"/>
      <c r="G312" s="4"/>
      <c r="H312" s="8"/>
      <c r="I312" s="4"/>
    </row>
    <row r="313" spans="1:9" x14ac:dyDescent="0.2">
      <c r="A313" s="1" t="s">
        <v>14</v>
      </c>
      <c r="C313" s="4"/>
      <c r="D313" s="8"/>
      <c r="E313" s="4"/>
      <c r="F313" s="8"/>
      <c r="G313" s="4"/>
      <c r="H313" s="8"/>
      <c r="I313" s="4"/>
    </row>
    <row r="314" spans="1:9" x14ac:dyDescent="0.2">
      <c r="A314" s="2">
        <v>1</v>
      </c>
      <c r="B314" s="1" t="s">
        <v>98</v>
      </c>
      <c r="C314" s="4">
        <v>267</v>
      </c>
      <c r="D314" s="8">
        <v>9.7100000000000009</v>
      </c>
      <c r="E314" s="4">
        <v>235</v>
      </c>
      <c r="F314" s="8">
        <v>20.350000000000001</v>
      </c>
      <c r="G314" s="4">
        <v>32</v>
      </c>
      <c r="H314" s="8">
        <v>2.0499999999999998</v>
      </c>
      <c r="I314" s="4">
        <v>0</v>
      </c>
    </row>
    <row r="315" spans="1:9" x14ac:dyDescent="0.2">
      <c r="A315" s="2">
        <v>2</v>
      </c>
      <c r="B315" s="1" t="s">
        <v>97</v>
      </c>
      <c r="C315" s="4">
        <v>217</v>
      </c>
      <c r="D315" s="8">
        <v>7.89</v>
      </c>
      <c r="E315" s="4">
        <v>188</v>
      </c>
      <c r="F315" s="8">
        <v>16.28</v>
      </c>
      <c r="G315" s="4">
        <v>29</v>
      </c>
      <c r="H315" s="8">
        <v>1.86</v>
      </c>
      <c r="I315" s="4">
        <v>0</v>
      </c>
    </row>
    <row r="316" spans="1:9" x14ac:dyDescent="0.2">
      <c r="A316" s="2">
        <v>3</v>
      </c>
      <c r="B316" s="1" t="s">
        <v>84</v>
      </c>
      <c r="C316" s="4">
        <v>193</v>
      </c>
      <c r="D316" s="8">
        <v>7.02</v>
      </c>
      <c r="E316" s="4">
        <v>49</v>
      </c>
      <c r="F316" s="8">
        <v>4.24</v>
      </c>
      <c r="G316" s="4">
        <v>144</v>
      </c>
      <c r="H316" s="8">
        <v>9.24</v>
      </c>
      <c r="I316" s="4">
        <v>0</v>
      </c>
    </row>
    <row r="317" spans="1:9" x14ac:dyDescent="0.2">
      <c r="A317" s="2">
        <v>4</v>
      </c>
      <c r="B317" s="1" t="s">
        <v>85</v>
      </c>
      <c r="C317" s="4">
        <v>189</v>
      </c>
      <c r="D317" s="8">
        <v>6.87</v>
      </c>
      <c r="E317" s="4">
        <v>61</v>
      </c>
      <c r="F317" s="8">
        <v>5.28</v>
      </c>
      <c r="G317" s="4">
        <v>128</v>
      </c>
      <c r="H317" s="8">
        <v>8.2200000000000006</v>
      </c>
      <c r="I317" s="4">
        <v>0</v>
      </c>
    </row>
    <row r="318" spans="1:9" x14ac:dyDescent="0.2">
      <c r="A318" s="2">
        <v>5</v>
      </c>
      <c r="B318" s="1" t="s">
        <v>94</v>
      </c>
      <c r="C318" s="4">
        <v>176</v>
      </c>
      <c r="D318" s="8">
        <v>6.4</v>
      </c>
      <c r="E318" s="4">
        <v>70</v>
      </c>
      <c r="F318" s="8">
        <v>6.06</v>
      </c>
      <c r="G318" s="4">
        <v>105</v>
      </c>
      <c r="H318" s="8">
        <v>6.74</v>
      </c>
      <c r="I318" s="4">
        <v>0</v>
      </c>
    </row>
    <row r="319" spans="1:9" x14ac:dyDescent="0.2">
      <c r="A319" s="2">
        <v>6</v>
      </c>
      <c r="B319" s="1" t="s">
        <v>92</v>
      </c>
      <c r="C319" s="4">
        <v>154</v>
      </c>
      <c r="D319" s="8">
        <v>5.6</v>
      </c>
      <c r="E319" s="4">
        <v>60</v>
      </c>
      <c r="F319" s="8">
        <v>5.19</v>
      </c>
      <c r="G319" s="4">
        <v>93</v>
      </c>
      <c r="H319" s="8">
        <v>5.97</v>
      </c>
      <c r="I319" s="4">
        <v>1</v>
      </c>
    </row>
    <row r="320" spans="1:9" x14ac:dyDescent="0.2">
      <c r="A320" s="2">
        <v>7</v>
      </c>
      <c r="B320" s="1" t="s">
        <v>91</v>
      </c>
      <c r="C320" s="4">
        <v>119</v>
      </c>
      <c r="D320" s="8">
        <v>4.33</v>
      </c>
      <c r="E320" s="4">
        <v>46</v>
      </c>
      <c r="F320" s="8">
        <v>3.98</v>
      </c>
      <c r="G320" s="4">
        <v>73</v>
      </c>
      <c r="H320" s="8">
        <v>4.6900000000000004</v>
      </c>
      <c r="I320" s="4">
        <v>0</v>
      </c>
    </row>
    <row r="321" spans="1:9" x14ac:dyDescent="0.2">
      <c r="A321" s="2">
        <v>8</v>
      </c>
      <c r="B321" s="1" t="s">
        <v>86</v>
      </c>
      <c r="C321" s="4">
        <v>105</v>
      </c>
      <c r="D321" s="8">
        <v>3.82</v>
      </c>
      <c r="E321" s="4">
        <v>14</v>
      </c>
      <c r="F321" s="8">
        <v>1.21</v>
      </c>
      <c r="G321" s="4">
        <v>91</v>
      </c>
      <c r="H321" s="8">
        <v>5.84</v>
      </c>
      <c r="I321" s="4">
        <v>0</v>
      </c>
    </row>
    <row r="322" spans="1:9" x14ac:dyDescent="0.2">
      <c r="A322" s="2">
        <v>9</v>
      </c>
      <c r="B322" s="1" t="s">
        <v>90</v>
      </c>
      <c r="C322" s="4">
        <v>90</v>
      </c>
      <c r="D322" s="8">
        <v>3.27</v>
      </c>
      <c r="E322" s="4">
        <v>59</v>
      </c>
      <c r="F322" s="8">
        <v>5.1100000000000003</v>
      </c>
      <c r="G322" s="4">
        <v>31</v>
      </c>
      <c r="H322" s="8">
        <v>1.99</v>
      </c>
      <c r="I322" s="4">
        <v>0</v>
      </c>
    </row>
    <row r="323" spans="1:9" x14ac:dyDescent="0.2">
      <c r="A323" s="2">
        <v>10</v>
      </c>
      <c r="B323" s="1" t="s">
        <v>101</v>
      </c>
      <c r="C323" s="4">
        <v>89</v>
      </c>
      <c r="D323" s="8">
        <v>3.24</v>
      </c>
      <c r="E323" s="4">
        <v>78</v>
      </c>
      <c r="F323" s="8">
        <v>6.75</v>
      </c>
      <c r="G323" s="4">
        <v>11</v>
      </c>
      <c r="H323" s="8">
        <v>0.71</v>
      </c>
      <c r="I323" s="4">
        <v>0</v>
      </c>
    </row>
    <row r="324" spans="1:9" x14ac:dyDescent="0.2">
      <c r="A324" s="2">
        <v>11</v>
      </c>
      <c r="B324" s="1" t="s">
        <v>100</v>
      </c>
      <c r="C324" s="4">
        <v>88</v>
      </c>
      <c r="D324" s="8">
        <v>3.2</v>
      </c>
      <c r="E324" s="4">
        <v>53</v>
      </c>
      <c r="F324" s="8">
        <v>4.59</v>
      </c>
      <c r="G324" s="4">
        <v>24</v>
      </c>
      <c r="H324" s="8">
        <v>1.54</v>
      </c>
      <c r="I324" s="4">
        <v>0</v>
      </c>
    </row>
    <row r="325" spans="1:9" x14ac:dyDescent="0.2">
      <c r="A325" s="2">
        <v>12</v>
      </c>
      <c r="B325" s="1" t="s">
        <v>106</v>
      </c>
      <c r="C325" s="4">
        <v>68</v>
      </c>
      <c r="D325" s="8">
        <v>2.4700000000000002</v>
      </c>
      <c r="E325" s="4">
        <v>16</v>
      </c>
      <c r="F325" s="8">
        <v>1.39</v>
      </c>
      <c r="G325" s="4">
        <v>52</v>
      </c>
      <c r="H325" s="8">
        <v>3.34</v>
      </c>
      <c r="I325" s="4">
        <v>0</v>
      </c>
    </row>
    <row r="326" spans="1:9" x14ac:dyDescent="0.2">
      <c r="A326" s="2">
        <v>13</v>
      </c>
      <c r="B326" s="1" t="s">
        <v>99</v>
      </c>
      <c r="C326" s="4">
        <v>53</v>
      </c>
      <c r="D326" s="8">
        <v>1.93</v>
      </c>
      <c r="E326" s="4">
        <v>21</v>
      </c>
      <c r="F326" s="8">
        <v>1.82</v>
      </c>
      <c r="G326" s="4">
        <v>32</v>
      </c>
      <c r="H326" s="8">
        <v>2.0499999999999998</v>
      </c>
      <c r="I326" s="4">
        <v>0</v>
      </c>
    </row>
    <row r="327" spans="1:9" x14ac:dyDescent="0.2">
      <c r="A327" s="2">
        <v>13</v>
      </c>
      <c r="B327" s="1" t="s">
        <v>102</v>
      </c>
      <c r="C327" s="4">
        <v>53</v>
      </c>
      <c r="D327" s="8">
        <v>1.93</v>
      </c>
      <c r="E327" s="4">
        <v>1</v>
      </c>
      <c r="F327" s="8">
        <v>0.09</v>
      </c>
      <c r="G327" s="4">
        <v>34</v>
      </c>
      <c r="H327" s="8">
        <v>2.1800000000000002</v>
      </c>
      <c r="I327" s="4">
        <v>1</v>
      </c>
    </row>
    <row r="328" spans="1:9" x14ac:dyDescent="0.2">
      <c r="A328" s="2">
        <v>13</v>
      </c>
      <c r="B328" s="1" t="s">
        <v>103</v>
      </c>
      <c r="C328" s="4">
        <v>53</v>
      </c>
      <c r="D328" s="8">
        <v>1.93</v>
      </c>
      <c r="E328" s="4">
        <v>31</v>
      </c>
      <c r="F328" s="8">
        <v>2.68</v>
      </c>
      <c r="G328" s="4">
        <v>22</v>
      </c>
      <c r="H328" s="8">
        <v>1.41</v>
      </c>
      <c r="I328" s="4">
        <v>0</v>
      </c>
    </row>
    <row r="329" spans="1:9" x14ac:dyDescent="0.2">
      <c r="A329" s="2">
        <v>16</v>
      </c>
      <c r="B329" s="1" t="s">
        <v>96</v>
      </c>
      <c r="C329" s="4">
        <v>52</v>
      </c>
      <c r="D329" s="8">
        <v>1.89</v>
      </c>
      <c r="E329" s="4">
        <v>19</v>
      </c>
      <c r="F329" s="8">
        <v>1.65</v>
      </c>
      <c r="G329" s="4">
        <v>30</v>
      </c>
      <c r="H329" s="8">
        <v>1.93</v>
      </c>
      <c r="I329" s="4">
        <v>0</v>
      </c>
    </row>
    <row r="330" spans="1:9" x14ac:dyDescent="0.2">
      <c r="A330" s="2">
        <v>17</v>
      </c>
      <c r="B330" s="1" t="s">
        <v>87</v>
      </c>
      <c r="C330" s="4">
        <v>51</v>
      </c>
      <c r="D330" s="8">
        <v>1.85</v>
      </c>
      <c r="E330" s="4">
        <v>10</v>
      </c>
      <c r="F330" s="8">
        <v>0.87</v>
      </c>
      <c r="G330" s="4">
        <v>41</v>
      </c>
      <c r="H330" s="8">
        <v>2.63</v>
      </c>
      <c r="I330" s="4">
        <v>0</v>
      </c>
    </row>
    <row r="331" spans="1:9" x14ac:dyDescent="0.2">
      <c r="A331" s="2">
        <v>18</v>
      </c>
      <c r="B331" s="1" t="s">
        <v>88</v>
      </c>
      <c r="C331" s="4">
        <v>49</v>
      </c>
      <c r="D331" s="8">
        <v>1.78</v>
      </c>
      <c r="E331" s="4">
        <v>3</v>
      </c>
      <c r="F331" s="8">
        <v>0.26</v>
      </c>
      <c r="G331" s="4">
        <v>46</v>
      </c>
      <c r="H331" s="8">
        <v>2.95</v>
      </c>
      <c r="I331" s="4">
        <v>0</v>
      </c>
    </row>
    <row r="332" spans="1:9" x14ac:dyDescent="0.2">
      <c r="A332" s="2">
        <v>18</v>
      </c>
      <c r="B332" s="1" t="s">
        <v>89</v>
      </c>
      <c r="C332" s="4">
        <v>49</v>
      </c>
      <c r="D332" s="8">
        <v>1.78</v>
      </c>
      <c r="E332" s="4">
        <v>21</v>
      </c>
      <c r="F332" s="8">
        <v>1.82</v>
      </c>
      <c r="G332" s="4">
        <v>28</v>
      </c>
      <c r="H332" s="8">
        <v>1.8</v>
      </c>
      <c r="I332" s="4">
        <v>0</v>
      </c>
    </row>
    <row r="333" spans="1:9" x14ac:dyDescent="0.2">
      <c r="A333" s="2">
        <v>18</v>
      </c>
      <c r="B333" s="1" t="s">
        <v>95</v>
      </c>
      <c r="C333" s="4">
        <v>49</v>
      </c>
      <c r="D333" s="8">
        <v>1.78</v>
      </c>
      <c r="E333" s="4">
        <v>28</v>
      </c>
      <c r="F333" s="8">
        <v>2.42</v>
      </c>
      <c r="G333" s="4">
        <v>21</v>
      </c>
      <c r="H333" s="8">
        <v>1.35</v>
      </c>
      <c r="I333" s="4">
        <v>0</v>
      </c>
    </row>
    <row r="334" spans="1:9" x14ac:dyDescent="0.2">
      <c r="A334" s="1"/>
      <c r="C334" s="4"/>
      <c r="D334" s="8"/>
      <c r="E334" s="4"/>
      <c r="F334" s="8"/>
      <c r="G334" s="4"/>
      <c r="H334" s="8"/>
      <c r="I334" s="4"/>
    </row>
    <row r="335" spans="1:9" x14ac:dyDescent="0.2">
      <c r="A335" s="1" t="s">
        <v>15</v>
      </c>
      <c r="C335" s="4"/>
      <c r="D335" s="8"/>
      <c r="E335" s="4"/>
      <c r="F335" s="8"/>
      <c r="G335" s="4"/>
      <c r="H335" s="8"/>
      <c r="I335" s="4"/>
    </row>
    <row r="336" spans="1:9" x14ac:dyDescent="0.2">
      <c r="A336" s="2">
        <v>1</v>
      </c>
      <c r="B336" s="1" t="s">
        <v>98</v>
      </c>
      <c r="C336" s="4">
        <v>268</v>
      </c>
      <c r="D336" s="8">
        <v>14.73</v>
      </c>
      <c r="E336" s="4">
        <v>229</v>
      </c>
      <c r="F336" s="8">
        <v>24.92</v>
      </c>
      <c r="G336" s="4">
        <v>39</v>
      </c>
      <c r="H336" s="8">
        <v>4.38</v>
      </c>
      <c r="I336" s="4">
        <v>0</v>
      </c>
    </row>
    <row r="337" spans="1:9" x14ac:dyDescent="0.2">
      <c r="A337" s="2">
        <v>2</v>
      </c>
      <c r="B337" s="1" t="s">
        <v>97</v>
      </c>
      <c r="C337" s="4">
        <v>226</v>
      </c>
      <c r="D337" s="8">
        <v>12.42</v>
      </c>
      <c r="E337" s="4">
        <v>193</v>
      </c>
      <c r="F337" s="8">
        <v>21</v>
      </c>
      <c r="G337" s="4">
        <v>33</v>
      </c>
      <c r="H337" s="8">
        <v>3.7</v>
      </c>
      <c r="I337" s="4">
        <v>0</v>
      </c>
    </row>
    <row r="338" spans="1:9" x14ac:dyDescent="0.2">
      <c r="A338" s="2">
        <v>3</v>
      </c>
      <c r="B338" s="1" t="s">
        <v>92</v>
      </c>
      <c r="C338" s="4">
        <v>132</v>
      </c>
      <c r="D338" s="8">
        <v>7.25</v>
      </c>
      <c r="E338" s="4">
        <v>55</v>
      </c>
      <c r="F338" s="8">
        <v>5.98</v>
      </c>
      <c r="G338" s="4">
        <v>77</v>
      </c>
      <c r="H338" s="8">
        <v>8.64</v>
      </c>
      <c r="I338" s="4">
        <v>0</v>
      </c>
    </row>
    <row r="339" spans="1:9" x14ac:dyDescent="0.2">
      <c r="A339" s="2">
        <v>4</v>
      </c>
      <c r="B339" s="1" t="s">
        <v>84</v>
      </c>
      <c r="C339" s="4">
        <v>106</v>
      </c>
      <c r="D339" s="8">
        <v>5.82</v>
      </c>
      <c r="E339" s="4">
        <v>26</v>
      </c>
      <c r="F339" s="8">
        <v>2.83</v>
      </c>
      <c r="G339" s="4">
        <v>79</v>
      </c>
      <c r="H339" s="8">
        <v>8.8699999999999992</v>
      </c>
      <c r="I339" s="4">
        <v>1</v>
      </c>
    </row>
    <row r="340" spans="1:9" x14ac:dyDescent="0.2">
      <c r="A340" s="2">
        <v>5</v>
      </c>
      <c r="B340" s="1" t="s">
        <v>101</v>
      </c>
      <c r="C340" s="4">
        <v>84</v>
      </c>
      <c r="D340" s="8">
        <v>4.62</v>
      </c>
      <c r="E340" s="4">
        <v>74</v>
      </c>
      <c r="F340" s="8">
        <v>8.0500000000000007</v>
      </c>
      <c r="G340" s="4">
        <v>10</v>
      </c>
      <c r="H340" s="8">
        <v>1.1200000000000001</v>
      </c>
      <c r="I340" s="4">
        <v>0</v>
      </c>
    </row>
    <row r="341" spans="1:9" x14ac:dyDescent="0.2">
      <c r="A341" s="2">
        <v>6</v>
      </c>
      <c r="B341" s="1" t="s">
        <v>94</v>
      </c>
      <c r="C341" s="4">
        <v>81</v>
      </c>
      <c r="D341" s="8">
        <v>4.45</v>
      </c>
      <c r="E341" s="4">
        <v>4</v>
      </c>
      <c r="F341" s="8">
        <v>0.44</v>
      </c>
      <c r="G341" s="4">
        <v>77</v>
      </c>
      <c r="H341" s="8">
        <v>8.64</v>
      </c>
      <c r="I341" s="4">
        <v>0</v>
      </c>
    </row>
    <row r="342" spans="1:9" x14ac:dyDescent="0.2">
      <c r="A342" s="2">
        <v>7</v>
      </c>
      <c r="B342" s="1" t="s">
        <v>85</v>
      </c>
      <c r="C342" s="4">
        <v>79</v>
      </c>
      <c r="D342" s="8">
        <v>4.34</v>
      </c>
      <c r="E342" s="4">
        <v>29</v>
      </c>
      <c r="F342" s="8">
        <v>3.16</v>
      </c>
      <c r="G342" s="4">
        <v>50</v>
      </c>
      <c r="H342" s="8">
        <v>5.61</v>
      </c>
      <c r="I342" s="4">
        <v>0</v>
      </c>
    </row>
    <row r="343" spans="1:9" x14ac:dyDescent="0.2">
      <c r="A343" s="2">
        <v>8</v>
      </c>
      <c r="B343" s="1" t="s">
        <v>86</v>
      </c>
      <c r="C343" s="4">
        <v>76</v>
      </c>
      <c r="D343" s="8">
        <v>4.18</v>
      </c>
      <c r="E343" s="4">
        <v>13</v>
      </c>
      <c r="F343" s="8">
        <v>1.41</v>
      </c>
      <c r="G343" s="4">
        <v>63</v>
      </c>
      <c r="H343" s="8">
        <v>7.07</v>
      </c>
      <c r="I343" s="4">
        <v>0</v>
      </c>
    </row>
    <row r="344" spans="1:9" x14ac:dyDescent="0.2">
      <c r="A344" s="2">
        <v>8</v>
      </c>
      <c r="B344" s="1" t="s">
        <v>90</v>
      </c>
      <c r="C344" s="4">
        <v>76</v>
      </c>
      <c r="D344" s="8">
        <v>4.18</v>
      </c>
      <c r="E344" s="4">
        <v>53</v>
      </c>
      <c r="F344" s="8">
        <v>5.77</v>
      </c>
      <c r="G344" s="4">
        <v>23</v>
      </c>
      <c r="H344" s="8">
        <v>2.58</v>
      </c>
      <c r="I344" s="4">
        <v>0</v>
      </c>
    </row>
    <row r="345" spans="1:9" x14ac:dyDescent="0.2">
      <c r="A345" s="2">
        <v>10</v>
      </c>
      <c r="B345" s="1" t="s">
        <v>91</v>
      </c>
      <c r="C345" s="4">
        <v>63</v>
      </c>
      <c r="D345" s="8">
        <v>3.46</v>
      </c>
      <c r="E345" s="4">
        <v>28</v>
      </c>
      <c r="F345" s="8">
        <v>3.05</v>
      </c>
      <c r="G345" s="4">
        <v>35</v>
      </c>
      <c r="H345" s="8">
        <v>3.93</v>
      </c>
      <c r="I345" s="4">
        <v>0</v>
      </c>
    </row>
    <row r="346" spans="1:9" x14ac:dyDescent="0.2">
      <c r="A346" s="2">
        <v>11</v>
      </c>
      <c r="B346" s="1" t="s">
        <v>100</v>
      </c>
      <c r="C346" s="4">
        <v>58</v>
      </c>
      <c r="D346" s="8">
        <v>3.19</v>
      </c>
      <c r="E346" s="4">
        <v>35</v>
      </c>
      <c r="F346" s="8">
        <v>3.81</v>
      </c>
      <c r="G346" s="4">
        <v>18</v>
      </c>
      <c r="H346" s="8">
        <v>2.02</v>
      </c>
      <c r="I346" s="4">
        <v>0</v>
      </c>
    </row>
    <row r="347" spans="1:9" x14ac:dyDescent="0.2">
      <c r="A347" s="2">
        <v>12</v>
      </c>
      <c r="B347" s="1" t="s">
        <v>93</v>
      </c>
      <c r="C347" s="4">
        <v>56</v>
      </c>
      <c r="D347" s="8">
        <v>3.08</v>
      </c>
      <c r="E347" s="4">
        <v>2</v>
      </c>
      <c r="F347" s="8">
        <v>0.22</v>
      </c>
      <c r="G347" s="4">
        <v>54</v>
      </c>
      <c r="H347" s="8">
        <v>6.06</v>
      </c>
      <c r="I347" s="4">
        <v>0</v>
      </c>
    </row>
    <row r="348" spans="1:9" x14ac:dyDescent="0.2">
      <c r="A348" s="2">
        <v>13</v>
      </c>
      <c r="B348" s="1" t="s">
        <v>89</v>
      </c>
      <c r="C348" s="4">
        <v>47</v>
      </c>
      <c r="D348" s="8">
        <v>2.58</v>
      </c>
      <c r="E348" s="4">
        <v>24</v>
      </c>
      <c r="F348" s="8">
        <v>2.61</v>
      </c>
      <c r="G348" s="4">
        <v>23</v>
      </c>
      <c r="H348" s="8">
        <v>2.58</v>
      </c>
      <c r="I348" s="4">
        <v>0</v>
      </c>
    </row>
    <row r="349" spans="1:9" x14ac:dyDescent="0.2">
      <c r="A349" s="2">
        <v>14</v>
      </c>
      <c r="B349" s="1" t="s">
        <v>96</v>
      </c>
      <c r="C349" s="4">
        <v>43</v>
      </c>
      <c r="D349" s="8">
        <v>2.36</v>
      </c>
      <c r="E349" s="4">
        <v>14</v>
      </c>
      <c r="F349" s="8">
        <v>1.52</v>
      </c>
      <c r="G349" s="4">
        <v>28</v>
      </c>
      <c r="H349" s="8">
        <v>3.14</v>
      </c>
      <c r="I349" s="4">
        <v>1</v>
      </c>
    </row>
    <row r="350" spans="1:9" x14ac:dyDescent="0.2">
      <c r="A350" s="2">
        <v>15</v>
      </c>
      <c r="B350" s="1" t="s">
        <v>95</v>
      </c>
      <c r="C350" s="4">
        <v>40</v>
      </c>
      <c r="D350" s="8">
        <v>2.2000000000000002</v>
      </c>
      <c r="E350" s="4">
        <v>25</v>
      </c>
      <c r="F350" s="8">
        <v>2.72</v>
      </c>
      <c r="G350" s="4">
        <v>15</v>
      </c>
      <c r="H350" s="8">
        <v>1.68</v>
      </c>
      <c r="I350" s="4">
        <v>0</v>
      </c>
    </row>
    <row r="351" spans="1:9" x14ac:dyDescent="0.2">
      <c r="A351" s="2">
        <v>16</v>
      </c>
      <c r="B351" s="1" t="s">
        <v>99</v>
      </c>
      <c r="C351" s="4">
        <v>32</v>
      </c>
      <c r="D351" s="8">
        <v>1.76</v>
      </c>
      <c r="E351" s="4">
        <v>17</v>
      </c>
      <c r="F351" s="8">
        <v>1.85</v>
      </c>
      <c r="G351" s="4">
        <v>15</v>
      </c>
      <c r="H351" s="8">
        <v>1.68</v>
      </c>
      <c r="I351" s="4">
        <v>0</v>
      </c>
    </row>
    <row r="352" spans="1:9" x14ac:dyDescent="0.2">
      <c r="A352" s="2">
        <v>17</v>
      </c>
      <c r="B352" s="1" t="s">
        <v>103</v>
      </c>
      <c r="C352" s="4">
        <v>29</v>
      </c>
      <c r="D352" s="8">
        <v>1.59</v>
      </c>
      <c r="E352" s="4">
        <v>24</v>
      </c>
      <c r="F352" s="8">
        <v>2.61</v>
      </c>
      <c r="G352" s="4">
        <v>5</v>
      </c>
      <c r="H352" s="8">
        <v>0.56000000000000005</v>
      </c>
      <c r="I352" s="4">
        <v>0</v>
      </c>
    </row>
    <row r="353" spans="1:9" x14ac:dyDescent="0.2">
      <c r="A353" s="2">
        <v>18</v>
      </c>
      <c r="B353" s="1" t="s">
        <v>87</v>
      </c>
      <c r="C353" s="4">
        <v>21</v>
      </c>
      <c r="D353" s="8">
        <v>1.1499999999999999</v>
      </c>
      <c r="E353" s="4">
        <v>4</v>
      </c>
      <c r="F353" s="8">
        <v>0.44</v>
      </c>
      <c r="G353" s="4">
        <v>17</v>
      </c>
      <c r="H353" s="8">
        <v>1.91</v>
      </c>
      <c r="I353" s="4">
        <v>0</v>
      </c>
    </row>
    <row r="354" spans="1:9" x14ac:dyDescent="0.2">
      <c r="A354" s="2">
        <v>19</v>
      </c>
      <c r="B354" s="1" t="s">
        <v>104</v>
      </c>
      <c r="C354" s="4">
        <v>20</v>
      </c>
      <c r="D354" s="8">
        <v>1.1000000000000001</v>
      </c>
      <c r="E354" s="4">
        <v>4</v>
      </c>
      <c r="F354" s="8">
        <v>0.44</v>
      </c>
      <c r="G354" s="4">
        <v>16</v>
      </c>
      <c r="H354" s="8">
        <v>1.8</v>
      </c>
      <c r="I354" s="4">
        <v>0</v>
      </c>
    </row>
    <row r="355" spans="1:9" x14ac:dyDescent="0.2">
      <c r="A355" s="2">
        <v>19</v>
      </c>
      <c r="B355" s="1" t="s">
        <v>113</v>
      </c>
      <c r="C355" s="4">
        <v>20</v>
      </c>
      <c r="D355" s="8">
        <v>1.1000000000000001</v>
      </c>
      <c r="E355" s="4">
        <v>4</v>
      </c>
      <c r="F355" s="8">
        <v>0.44</v>
      </c>
      <c r="G355" s="4">
        <v>16</v>
      </c>
      <c r="H355" s="8">
        <v>1.8</v>
      </c>
      <c r="I355" s="4">
        <v>0</v>
      </c>
    </row>
    <row r="356" spans="1:9" x14ac:dyDescent="0.2">
      <c r="A356" s="1"/>
      <c r="C356" s="4"/>
      <c r="D356" s="8"/>
      <c r="E356" s="4"/>
      <c r="F356" s="8"/>
      <c r="G356" s="4"/>
      <c r="H356" s="8"/>
      <c r="I356" s="4"/>
    </row>
    <row r="357" spans="1:9" x14ac:dyDescent="0.2">
      <c r="A357" s="1" t="s">
        <v>16</v>
      </c>
      <c r="C357" s="4"/>
      <c r="D357" s="8"/>
      <c r="E357" s="4"/>
      <c r="F357" s="8"/>
      <c r="G357" s="4"/>
      <c r="H357" s="8"/>
      <c r="I357" s="4"/>
    </row>
    <row r="358" spans="1:9" x14ac:dyDescent="0.2">
      <c r="A358" s="2">
        <v>1</v>
      </c>
      <c r="B358" s="1" t="s">
        <v>97</v>
      </c>
      <c r="C358" s="4">
        <v>257</v>
      </c>
      <c r="D358" s="8">
        <v>10.14</v>
      </c>
      <c r="E358" s="4">
        <v>190</v>
      </c>
      <c r="F358" s="8">
        <v>21.16</v>
      </c>
      <c r="G358" s="4">
        <v>67</v>
      </c>
      <c r="H358" s="8">
        <v>4.1900000000000004</v>
      </c>
      <c r="I358" s="4">
        <v>0</v>
      </c>
    </row>
    <row r="359" spans="1:9" x14ac:dyDescent="0.2">
      <c r="A359" s="2">
        <v>2</v>
      </c>
      <c r="B359" s="1" t="s">
        <v>98</v>
      </c>
      <c r="C359" s="4">
        <v>251</v>
      </c>
      <c r="D359" s="8">
        <v>9.91</v>
      </c>
      <c r="E359" s="4">
        <v>201</v>
      </c>
      <c r="F359" s="8">
        <v>22.38</v>
      </c>
      <c r="G359" s="4">
        <v>50</v>
      </c>
      <c r="H359" s="8">
        <v>3.13</v>
      </c>
      <c r="I359" s="4">
        <v>0</v>
      </c>
    </row>
    <row r="360" spans="1:9" x14ac:dyDescent="0.2">
      <c r="A360" s="2">
        <v>3</v>
      </c>
      <c r="B360" s="1" t="s">
        <v>94</v>
      </c>
      <c r="C360" s="4">
        <v>194</v>
      </c>
      <c r="D360" s="8">
        <v>7.66</v>
      </c>
      <c r="E360" s="4">
        <v>37</v>
      </c>
      <c r="F360" s="8">
        <v>4.12</v>
      </c>
      <c r="G360" s="4">
        <v>155</v>
      </c>
      <c r="H360" s="8">
        <v>9.6999999999999993</v>
      </c>
      <c r="I360" s="4">
        <v>2</v>
      </c>
    </row>
    <row r="361" spans="1:9" x14ac:dyDescent="0.2">
      <c r="A361" s="2">
        <v>4</v>
      </c>
      <c r="B361" s="1" t="s">
        <v>84</v>
      </c>
      <c r="C361" s="4">
        <v>190</v>
      </c>
      <c r="D361" s="8">
        <v>7.5</v>
      </c>
      <c r="E361" s="4">
        <v>32</v>
      </c>
      <c r="F361" s="8">
        <v>3.56</v>
      </c>
      <c r="G361" s="4">
        <v>158</v>
      </c>
      <c r="H361" s="8">
        <v>9.89</v>
      </c>
      <c r="I361" s="4">
        <v>0</v>
      </c>
    </row>
    <row r="362" spans="1:9" x14ac:dyDescent="0.2">
      <c r="A362" s="2">
        <v>5</v>
      </c>
      <c r="B362" s="1" t="s">
        <v>92</v>
      </c>
      <c r="C362" s="4">
        <v>161</v>
      </c>
      <c r="D362" s="8">
        <v>6.35</v>
      </c>
      <c r="E362" s="4">
        <v>48</v>
      </c>
      <c r="F362" s="8">
        <v>5.35</v>
      </c>
      <c r="G362" s="4">
        <v>113</v>
      </c>
      <c r="H362" s="8">
        <v>7.07</v>
      </c>
      <c r="I362" s="4">
        <v>0</v>
      </c>
    </row>
    <row r="363" spans="1:9" x14ac:dyDescent="0.2">
      <c r="A363" s="2">
        <v>6</v>
      </c>
      <c r="B363" s="1" t="s">
        <v>90</v>
      </c>
      <c r="C363" s="4">
        <v>112</v>
      </c>
      <c r="D363" s="8">
        <v>4.42</v>
      </c>
      <c r="E363" s="4">
        <v>48</v>
      </c>
      <c r="F363" s="8">
        <v>5.35</v>
      </c>
      <c r="G363" s="4">
        <v>63</v>
      </c>
      <c r="H363" s="8">
        <v>3.94</v>
      </c>
      <c r="I363" s="4">
        <v>1</v>
      </c>
    </row>
    <row r="364" spans="1:9" x14ac:dyDescent="0.2">
      <c r="A364" s="2">
        <v>7</v>
      </c>
      <c r="B364" s="1" t="s">
        <v>89</v>
      </c>
      <c r="C364" s="4">
        <v>106</v>
      </c>
      <c r="D364" s="8">
        <v>4.18</v>
      </c>
      <c r="E364" s="4">
        <v>16</v>
      </c>
      <c r="F364" s="8">
        <v>1.78</v>
      </c>
      <c r="G364" s="4">
        <v>90</v>
      </c>
      <c r="H364" s="8">
        <v>5.63</v>
      </c>
      <c r="I364" s="4">
        <v>0</v>
      </c>
    </row>
    <row r="365" spans="1:9" x14ac:dyDescent="0.2">
      <c r="A365" s="2">
        <v>8</v>
      </c>
      <c r="B365" s="1" t="s">
        <v>100</v>
      </c>
      <c r="C365" s="4">
        <v>91</v>
      </c>
      <c r="D365" s="8">
        <v>3.59</v>
      </c>
      <c r="E365" s="4">
        <v>42</v>
      </c>
      <c r="F365" s="8">
        <v>4.68</v>
      </c>
      <c r="G365" s="4">
        <v>34</v>
      </c>
      <c r="H365" s="8">
        <v>2.13</v>
      </c>
      <c r="I365" s="4">
        <v>0</v>
      </c>
    </row>
    <row r="366" spans="1:9" x14ac:dyDescent="0.2">
      <c r="A366" s="2">
        <v>9</v>
      </c>
      <c r="B366" s="1" t="s">
        <v>101</v>
      </c>
      <c r="C366" s="4">
        <v>89</v>
      </c>
      <c r="D366" s="8">
        <v>3.51</v>
      </c>
      <c r="E366" s="4">
        <v>78</v>
      </c>
      <c r="F366" s="8">
        <v>8.69</v>
      </c>
      <c r="G366" s="4">
        <v>11</v>
      </c>
      <c r="H366" s="8">
        <v>0.69</v>
      </c>
      <c r="I366" s="4">
        <v>0</v>
      </c>
    </row>
    <row r="367" spans="1:9" x14ac:dyDescent="0.2">
      <c r="A367" s="2">
        <v>10</v>
      </c>
      <c r="B367" s="1" t="s">
        <v>85</v>
      </c>
      <c r="C367" s="4">
        <v>84</v>
      </c>
      <c r="D367" s="8">
        <v>3.31</v>
      </c>
      <c r="E367" s="4">
        <v>29</v>
      </c>
      <c r="F367" s="8">
        <v>3.23</v>
      </c>
      <c r="G367" s="4">
        <v>55</v>
      </c>
      <c r="H367" s="8">
        <v>3.44</v>
      </c>
      <c r="I367" s="4">
        <v>0</v>
      </c>
    </row>
    <row r="368" spans="1:9" x14ac:dyDescent="0.2">
      <c r="A368" s="2">
        <v>11</v>
      </c>
      <c r="B368" s="1" t="s">
        <v>86</v>
      </c>
      <c r="C368" s="4">
        <v>72</v>
      </c>
      <c r="D368" s="8">
        <v>2.84</v>
      </c>
      <c r="E368" s="4">
        <v>11</v>
      </c>
      <c r="F368" s="8">
        <v>1.22</v>
      </c>
      <c r="G368" s="4">
        <v>61</v>
      </c>
      <c r="H368" s="8">
        <v>3.82</v>
      </c>
      <c r="I368" s="4">
        <v>0</v>
      </c>
    </row>
    <row r="369" spans="1:9" x14ac:dyDescent="0.2">
      <c r="A369" s="2">
        <v>12</v>
      </c>
      <c r="B369" s="1" t="s">
        <v>95</v>
      </c>
      <c r="C369" s="4">
        <v>54</v>
      </c>
      <c r="D369" s="8">
        <v>2.13</v>
      </c>
      <c r="E369" s="4">
        <v>33</v>
      </c>
      <c r="F369" s="8">
        <v>3.67</v>
      </c>
      <c r="G369" s="4">
        <v>21</v>
      </c>
      <c r="H369" s="8">
        <v>1.31</v>
      </c>
      <c r="I369" s="4">
        <v>0</v>
      </c>
    </row>
    <row r="370" spans="1:9" x14ac:dyDescent="0.2">
      <c r="A370" s="2">
        <v>12</v>
      </c>
      <c r="B370" s="1" t="s">
        <v>99</v>
      </c>
      <c r="C370" s="4">
        <v>54</v>
      </c>
      <c r="D370" s="8">
        <v>2.13</v>
      </c>
      <c r="E370" s="4">
        <v>24</v>
      </c>
      <c r="F370" s="8">
        <v>2.67</v>
      </c>
      <c r="G370" s="4">
        <v>30</v>
      </c>
      <c r="H370" s="8">
        <v>1.88</v>
      </c>
      <c r="I370" s="4">
        <v>0</v>
      </c>
    </row>
    <row r="371" spans="1:9" x14ac:dyDescent="0.2">
      <c r="A371" s="2">
        <v>14</v>
      </c>
      <c r="B371" s="1" t="s">
        <v>96</v>
      </c>
      <c r="C371" s="4">
        <v>51</v>
      </c>
      <c r="D371" s="8">
        <v>2.0099999999999998</v>
      </c>
      <c r="E371" s="4">
        <v>13</v>
      </c>
      <c r="F371" s="8">
        <v>1.45</v>
      </c>
      <c r="G371" s="4">
        <v>38</v>
      </c>
      <c r="H371" s="8">
        <v>2.38</v>
      </c>
      <c r="I371" s="4">
        <v>0</v>
      </c>
    </row>
    <row r="372" spans="1:9" x14ac:dyDescent="0.2">
      <c r="A372" s="2">
        <v>15</v>
      </c>
      <c r="B372" s="1" t="s">
        <v>91</v>
      </c>
      <c r="C372" s="4">
        <v>48</v>
      </c>
      <c r="D372" s="8">
        <v>1.89</v>
      </c>
      <c r="E372" s="4">
        <v>13</v>
      </c>
      <c r="F372" s="8">
        <v>1.45</v>
      </c>
      <c r="G372" s="4">
        <v>35</v>
      </c>
      <c r="H372" s="8">
        <v>2.19</v>
      </c>
      <c r="I372" s="4">
        <v>0</v>
      </c>
    </row>
    <row r="373" spans="1:9" x14ac:dyDescent="0.2">
      <c r="A373" s="2">
        <v>16</v>
      </c>
      <c r="B373" s="1" t="s">
        <v>115</v>
      </c>
      <c r="C373" s="4">
        <v>43</v>
      </c>
      <c r="D373" s="8">
        <v>1.7</v>
      </c>
      <c r="E373" s="4">
        <v>0</v>
      </c>
      <c r="F373" s="8">
        <v>0</v>
      </c>
      <c r="G373" s="4">
        <v>43</v>
      </c>
      <c r="H373" s="8">
        <v>2.69</v>
      </c>
      <c r="I373" s="4">
        <v>0</v>
      </c>
    </row>
    <row r="374" spans="1:9" x14ac:dyDescent="0.2">
      <c r="A374" s="2">
        <v>16</v>
      </c>
      <c r="B374" s="1" t="s">
        <v>109</v>
      </c>
      <c r="C374" s="4">
        <v>43</v>
      </c>
      <c r="D374" s="8">
        <v>1.7</v>
      </c>
      <c r="E374" s="4">
        <v>6</v>
      </c>
      <c r="F374" s="8">
        <v>0.67</v>
      </c>
      <c r="G374" s="4">
        <v>37</v>
      </c>
      <c r="H374" s="8">
        <v>2.3199999999999998</v>
      </c>
      <c r="I374" s="4">
        <v>0</v>
      </c>
    </row>
    <row r="375" spans="1:9" x14ac:dyDescent="0.2">
      <c r="A375" s="2">
        <v>18</v>
      </c>
      <c r="B375" s="1" t="s">
        <v>114</v>
      </c>
      <c r="C375" s="4">
        <v>38</v>
      </c>
      <c r="D375" s="8">
        <v>1.5</v>
      </c>
      <c r="E375" s="4">
        <v>0</v>
      </c>
      <c r="F375" s="8">
        <v>0</v>
      </c>
      <c r="G375" s="4">
        <v>38</v>
      </c>
      <c r="H375" s="8">
        <v>2.38</v>
      </c>
      <c r="I375" s="4">
        <v>0</v>
      </c>
    </row>
    <row r="376" spans="1:9" x14ac:dyDescent="0.2">
      <c r="A376" s="2">
        <v>19</v>
      </c>
      <c r="B376" s="1" t="s">
        <v>93</v>
      </c>
      <c r="C376" s="4">
        <v>35</v>
      </c>
      <c r="D376" s="8">
        <v>1.38</v>
      </c>
      <c r="E376" s="4">
        <v>1</v>
      </c>
      <c r="F376" s="8">
        <v>0.11</v>
      </c>
      <c r="G376" s="4">
        <v>34</v>
      </c>
      <c r="H376" s="8">
        <v>2.13</v>
      </c>
      <c r="I376" s="4">
        <v>0</v>
      </c>
    </row>
    <row r="377" spans="1:9" x14ac:dyDescent="0.2">
      <c r="A377" s="2">
        <v>20</v>
      </c>
      <c r="B377" s="1" t="s">
        <v>104</v>
      </c>
      <c r="C377" s="4">
        <v>31</v>
      </c>
      <c r="D377" s="8">
        <v>1.22</v>
      </c>
      <c r="E377" s="4">
        <v>1</v>
      </c>
      <c r="F377" s="8">
        <v>0.11</v>
      </c>
      <c r="G377" s="4">
        <v>30</v>
      </c>
      <c r="H377" s="8">
        <v>1.88</v>
      </c>
      <c r="I377" s="4">
        <v>0</v>
      </c>
    </row>
    <row r="378" spans="1:9" x14ac:dyDescent="0.2">
      <c r="A378" s="2">
        <v>20</v>
      </c>
      <c r="B378" s="1" t="s">
        <v>103</v>
      </c>
      <c r="C378" s="4">
        <v>31</v>
      </c>
      <c r="D378" s="8">
        <v>1.22</v>
      </c>
      <c r="E378" s="4">
        <v>18</v>
      </c>
      <c r="F378" s="8">
        <v>2</v>
      </c>
      <c r="G378" s="4">
        <v>13</v>
      </c>
      <c r="H378" s="8">
        <v>0.81</v>
      </c>
      <c r="I378" s="4">
        <v>0</v>
      </c>
    </row>
    <row r="379" spans="1:9" x14ac:dyDescent="0.2">
      <c r="A379" s="1"/>
      <c r="C379" s="4"/>
      <c r="D379" s="8"/>
      <c r="E379" s="4"/>
      <c r="F379" s="8"/>
      <c r="G379" s="4"/>
      <c r="H379" s="8"/>
      <c r="I379" s="4"/>
    </row>
    <row r="380" spans="1:9" x14ac:dyDescent="0.2">
      <c r="A380" s="1" t="s">
        <v>17</v>
      </c>
      <c r="C380" s="4"/>
      <c r="D380" s="8"/>
      <c r="E380" s="4"/>
      <c r="F380" s="8"/>
      <c r="G380" s="4"/>
      <c r="H380" s="8"/>
      <c r="I380" s="4"/>
    </row>
    <row r="381" spans="1:9" x14ac:dyDescent="0.2">
      <c r="A381" s="2">
        <v>1</v>
      </c>
      <c r="B381" s="1" t="s">
        <v>98</v>
      </c>
      <c r="C381" s="4">
        <v>286</v>
      </c>
      <c r="D381" s="8">
        <v>11.61</v>
      </c>
      <c r="E381" s="4">
        <v>231</v>
      </c>
      <c r="F381" s="8">
        <v>22.6</v>
      </c>
      <c r="G381" s="4">
        <v>55</v>
      </c>
      <c r="H381" s="8">
        <v>3.84</v>
      </c>
      <c r="I381" s="4">
        <v>0</v>
      </c>
    </row>
    <row r="382" spans="1:9" x14ac:dyDescent="0.2">
      <c r="A382" s="2">
        <v>2</v>
      </c>
      <c r="B382" s="1" t="s">
        <v>97</v>
      </c>
      <c r="C382" s="4">
        <v>252</v>
      </c>
      <c r="D382" s="8">
        <v>10.23</v>
      </c>
      <c r="E382" s="4">
        <v>200</v>
      </c>
      <c r="F382" s="8">
        <v>19.57</v>
      </c>
      <c r="G382" s="4">
        <v>52</v>
      </c>
      <c r="H382" s="8">
        <v>3.63</v>
      </c>
      <c r="I382" s="4">
        <v>0</v>
      </c>
    </row>
    <row r="383" spans="1:9" x14ac:dyDescent="0.2">
      <c r="A383" s="2">
        <v>3</v>
      </c>
      <c r="B383" s="1" t="s">
        <v>94</v>
      </c>
      <c r="C383" s="4">
        <v>157</v>
      </c>
      <c r="D383" s="8">
        <v>6.37</v>
      </c>
      <c r="E383" s="4">
        <v>25</v>
      </c>
      <c r="F383" s="8">
        <v>2.4500000000000002</v>
      </c>
      <c r="G383" s="4">
        <v>131</v>
      </c>
      <c r="H383" s="8">
        <v>9.15</v>
      </c>
      <c r="I383" s="4">
        <v>0</v>
      </c>
    </row>
    <row r="384" spans="1:9" x14ac:dyDescent="0.2">
      <c r="A384" s="2">
        <v>4</v>
      </c>
      <c r="B384" s="1" t="s">
        <v>84</v>
      </c>
      <c r="C384" s="4">
        <v>145</v>
      </c>
      <c r="D384" s="8">
        <v>5.89</v>
      </c>
      <c r="E384" s="4">
        <v>22</v>
      </c>
      <c r="F384" s="8">
        <v>2.15</v>
      </c>
      <c r="G384" s="4">
        <v>123</v>
      </c>
      <c r="H384" s="8">
        <v>8.59</v>
      </c>
      <c r="I384" s="4">
        <v>0</v>
      </c>
    </row>
    <row r="385" spans="1:9" x14ac:dyDescent="0.2">
      <c r="A385" s="2">
        <v>5</v>
      </c>
      <c r="B385" s="1" t="s">
        <v>92</v>
      </c>
      <c r="C385" s="4">
        <v>138</v>
      </c>
      <c r="D385" s="8">
        <v>5.6</v>
      </c>
      <c r="E385" s="4">
        <v>55</v>
      </c>
      <c r="F385" s="8">
        <v>5.38</v>
      </c>
      <c r="G385" s="4">
        <v>82</v>
      </c>
      <c r="H385" s="8">
        <v>5.73</v>
      </c>
      <c r="I385" s="4">
        <v>1</v>
      </c>
    </row>
    <row r="386" spans="1:9" x14ac:dyDescent="0.2">
      <c r="A386" s="2">
        <v>6</v>
      </c>
      <c r="B386" s="1" t="s">
        <v>85</v>
      </c>
      <c r="C386" s="4">
        <v>123</v>
      </c>
      <c r="D386" s="8">
        <v>4.99</v>
      </c>
      <c r="E386" s="4">
        <v>29</v>
      </c>
      <c r="F386" s="8">
        <v>2.84</v>
      </c>
      <c r="G386" s="4">
        <v>94</v>
      </c>
      <c r="H386" s="8">
        <v>6.56</v>
      </c>
      <c r="I386" s="4">
        <v>0</v>
      </c>
    </row>
    <row r="387" spans="1:9" x14ac:dyDescent="0.2">
      <c r="A387" s="2">
        <v>7</v>
      </c>
      <c r="B387" s="1" t="s">
        <v>100</v>
      </c>
      <c r="C387" s="4">
        <v>122</v>
      </c>
      <c r="D387" s="8">
        <v>4.95</v>
      </c>
      <c r="E387" s="4">
        <v>80</v>
      </c>
      <c r="F387" s="8">
        <v>7.83</v>
      </c>
      <c r="G387" s="4">
        <v>39</v>
      </c>
      <c r="H387" s="8">
        <v>2.72</v>
      </c>
      <c r="I387" s="4">
        <v>0</v>
      </c>
    </row>
    <row r="388" spans="1:9" x14ac:dyDescent="0.2">
      <c r="A388" s="2">
        <v>8</v>
      </c>
      <c r="B388" s="1" t="s">
        <v>101</v>
      </c>
      <c r="C388" s="4">
        <v>105</v>
      </c>
      <c r="D388" s="8">
        <v>4.26</v>
      </c>
      <c r="E388" s="4">
        <v>87</v>
      </c>
      <c r="F388" s="8">
        <v>8.51</v>
      </c>
      <c r="G388" s="4">
        <v>18</v>
      </c>
      <c r="H388" s="8">
        <v>1.26</v>
      </c>
      <c r="I388" s="4">
        <v>0</v>
      </c>
    </row>
    <row r="389" spans="1:9" x14ac:dyDescent="0.2">
      <c r="A389" s="2">
        <v>9</v>
      </c>
      <c r="B389" s="1" t="s">
        <v>95</v>
      </c>
      <c r="C389" s="4">
        <v>99</v>
      </c>
      <c r="D389" s="8">
        <v>4.0199999999999996</v>
      </c>
      <c r="E389" s="4">
        <v>60</v>
      </c>
      <c r="F389" s="8">
        <v>5.87</v>
      </c>
      <c r="G389" s="4">
        <v>39</v>
      </c>
      <c r="H389" s="8">
        <v>2.72</v>
      </c>
      <c r="I389" s="4">
        <v>0</v>
      </c>
    </row>
    <row r="390" spans="1:9" x14ac:dyDescent="0.2">
      <c r="A390" s="2">
        <v>10</v>
      </c>
      <c r="B390" s="1" t="s">
        <v>90</v>
      </c>
      <c r="C390" s="4">
        <v>91</v>
      </c>
      <c r="D390" s="8">
        <v>3.69</v>
      </c>
      <c r="E390" s="4">
        <v>43</v>
      </c>
      <c r="F390" s="8">
        <v>4.21</v>
      </c>
      <c r="G390" s="4">
        <v>48</v>
      </c>
      <c r="H390" s="8">
        <v>3.35</v>
      </c>
      <c r="I390" s="4">
        <v>0</v>
      </c>
    </row>
    <row r="391" spans="1:9" x14ac:dyDescent="0.2">
      <c r="A391" s="2">
        <v>11</v>
      </c>
      <c r="B391" s="1" t="s">
        <v>96</v>
      </c>
      <c r="C391" s="4">
        <v>80</v>
      </c>
      <c r="D391" s="8">
        <v>3.25</v>
      </c>
      <c r="E391" s="4">
        <v>26</v>
      </c>
      <c r="F391" s="8">
        <v>2.54</v>
      </c>
      <c r="G391" s="4">
        <v>54</v>
      </c>
      <c r="H391" s="8">
        <v>3.77</v>
      </c>
      <c r="I391" s="4">
        <v>0</v>
      </c>
    </row>
    <row r="392" spans="1:9" x14ac:dyDescent="0.2">
      <c r="A392" s="2">
        <v>12</v>
      </c>
      <c r="B392" s="1" t="s">
        <v>91</v>
      </c>
      <c r="C392" s="4">
        <v>74</v>
      </c>
      <c r="D392" s="8">
        <v>3</v>
      </c>
      <c r="E392" s="4">
        <v>23</v>
      </c>
      <c r="F392" s="8">
        <v>2.25</v>
      </c>
      <c r="G392" s="4">
        <v>51</v>
      </c>
      <c r="H392" s="8">
        <v>3.56</v>
      </c>
      <c r="I392" s="4">
        <v>0</v>
      </c>
    </row>
    <row r="393" spans="1:9" x14ac:dyDescent="0.2">
      <c r="A393" s="2">
        <v>13</v>
      </c>
      <c r="B393" s="1" t="s">
        <v>86</v>
      </c>
      <c r="C393" s="4">
        <v>72</v>
      </c>
      <c r="D393" s="8">
        <v>2.92</v>
      </c>
      <c r="E393" s="4">
        <v>8</v>
      </c>
      <c r="F393" s="8">
        <v>0.78</v>
      </c>
      <c r="G393" s="4">
        <v>64</v>
      </c>
      <c r="H393" s="8">
        <v>4.47</v>
      </c>
      <c r="I393" s="4">
        <v>0</v>
      </c>
    </row>
    <row r="394" spans="1:9" x14ac:dyDescent="0.2">
      <c r="A394" s="2">
        <v>14</v>
      </c>
      <c r="B394" s="1" t="s">
        <v>89</v>
      </c>
      <c r="C394" s="4">
        <v>51</v>
      </c>
      <c r="D394" s="8">
        <v>2.0699999999999998</v>
      </c>
      <c r="E394" s="4">
        <v>20</v>
      </c>
      <c r="F394" s="8">
        <v>1.96</v>
      </c>
      <c r="G394" s="4">
        <v>31</v>
      </c>
      <c r="H394" s="8">
        <v>2.16</v>
      </c>
      <c r="I394" s="4">
        <v>0</v>
      </c>
    </row>
    <row r="395" spans="1:9" x14ac:dyDescent="0.2">
      <c r="A395" s="2">
        <v>15</v>
      </c>
      <c r="B395" s="1" t="s">
        <v>103</v>
      </c>
      <c r="C395" s="4">
        <v>49</v>
      </c>
      <c r="D395" s="8">
        <v>1.99</v>
      </c>
      <c r="E395" s="4">
        <v>24</v>
      </c>
      <c r="F395" s="8">
        <v>2.35</v>
      </c>
      <c r="G395" s="4">
        <v>25</v>
      </c>
      <c r="H395" s="8">
        <v>1.75</v>
      </c>
      <c r="I395" s="4">
        <v>0</v>
      </c>
    </row>
    <row r="396" spans="1:9" x14ac:dyDescent="0.2">
      <c r="A396" s="2">
        <v>16</v>
      </c>
      <c r="B396" s="1" t="s">
        <v>88</v>
      </c>
      <c r="C396" s="4">
        <v>45</v>
      </c>
      <c r="D396" s="8">
        <v>1.83</v>
      </c>
      <c r="E396" s="4">
        <v>2</v>
      </c>
      <c r="F396" s="8">
        <v>0.2</v>
      </c>
      <c r="G396" s="4">
        <v>43</v>
      </c>
      <c r="H396" s="8">
        <v>3</v>
      </c>
      <c r="I396" s="4">
        <v>0</v>
      </c>
    </row>
    <row r="397" spans="1:9" x14ac:dyDescent="0.2">
      <c r="A397" s="2">
        <v>17</v>
      </c>
      <c r="B397" s="1" t="s">
        <v>112</v>
      </c>
      <c r="C397" s="4">
        <v>39</v>
      </c>
      <c r="D397" s="8">
        <v>1.58</v>
      </c>
      <c r="E397" s="4">
        <v>14</v>
      </c>
      <c r="F397" s="8">
        <v>1.37</v>
      </c>
      <c r="G397" s="4">
        <v>25</v>
      </c>
      <c r="H397" s="8">
        <v>1.75</v>
      </c>
      <c r="I397" s="4">
        <v>0</v>
      </c>
    </row>
    <row r="398" spans="1:9" x14ac:dyDescent="0.2">
      <c r="A398" s="2">
        <v>17</v>
      </c>
      <c r="B398" s="1" t="s">
        <v>102</v>
      </c>
      <c r="C398" s="4">
        <v>39</v>
      </c>
      <c r="D398" s="8">
        <v>1.58</v>
      </c>
      <c r="E398" s="4">
        <v>0</v>
      </c>
      <c r="F398" s="8">
        <v>0</v>
      </c>
      <c r="G398" s="4">
        <v>38</v>
      </c>
      <c r="H398" s="8">
        <v>2.65</v>
      </c>
      <c r="I398" s="4">
        <v>0</v>
      </c>
    </row>
    <row r="399" spans="1:9" x14ac:dyDescent="0.2">
      <c r="A399" s="2">
        <v>19</v>
      </c>
      <c r="B399" s="1" t="s">
        <v>104</v>
      </c>
      <c r="C399" s="4">
        <v>37</v>
      </c>
      <c r="D399" s="8">
        <v>1.5</v>
      </c>
      <c r="E399" s="4">
        <v>4</v>
      </c>
      <c r="F399" s="8">
        <v>0.39</v>
      </c>
      <c r="G399" s="4">
        <v>33</v>
      </c>
      <c r="H399" s="8">
        <v>2.2999999999999998</v>
      </c>
      <c r="I399" s="4">
        <v>0</v>
      </c>
    </row>
    <row r="400" spans="1:9" x14ac:dyDescent="0.2">
      <c r="A400" s="2">
        <v>19</v>
      </c>
      <c r="B400" s="1" t="s">
        <v>93</v>
      </c>
      <c r="C400" s="4">
        <v>37</v>
      </c>
      <c r="D400" s="8">
        <v>1.5</v>
      </c>
      <c r="E400" s="4">
        <v>1</v>
      </c>
      <c r="F400" s="8">
        <v>0.1</v>
      </c>
      <c r="G400" s="4">
        <v>36</v>
      </c>
      <c r="H400" s="8">
        <v>2.5099999999999998</v>
      </c>
      <c r="I400" s="4">
        <v>0</v>
      </c>
    </row>
    <row r="401" spans="1:9" x14ac:dyDescent="0.2">
      <c r="A401" s="2">
        <v>19</v>
      </c>
      <c r="B401" s="1" t="s">
        <v>99</v>
      </c>
      <c r="C401" s="4">
        <v>37</v>
      </c>
      <c r="D401" s="8">
        <v>1.5</v>
      </c>
      <c r="E401" s="4">
        <v>15</v>
      </c>
      <c r="F401" s="8">
        <v>1.47</v>
      </c>
      <c r="G401" s="4">
        <v>22</v>
      </c>
      <c r="H401" s="8">
        <v>1.54</v>
      </c>
      <c r="I401" s="4">
        <v>0</v>
      </c>
    </row>
    <row r="402" spans="1:9" x14ac:dyDescent="0.2">
      <c r="A402" s="1"/>
      <c r="C402" s="4"/>
      <c r="D402" s="8"/>
      <c r="E402" s="4"/>
      <c r="F402" s="8"/>
      <c r="G402" s="4"/>
      <c r="H402" s="8"/>
      <c r="I402" s="4"/>
    </row>
    <row r="403" spans="1:9" x14ac:dyDescent="0.2">
      <c r="A403" s="1" t="s">
        <v>18</v>
      </c>
      <c r="C403" s="4"/>
      <c r="D403" s="8"/>
      <c r="E403" s="4"/>
      <c r="F403" s="8"/>
      <c r="G403" s="4"/>
      <c r="H403" s="8"/>
      <c r="I403" s="4"/>
    </row>
    <row r="404" spans="1:9" x14ac:dyDescent="0.2">
      <c r="A404" s="2">
        <v>1</v>
      </c>
      <c r="B404" s="1" t="s">
        <v>98</v>
      </c>
      <c r="C404" s="4">
        <v>145</v>
      </c>
      <c r="D404" s="8">
        <v>11.1</v>
      </c>
      <c r="E404" s="4">
        <v>124</v>
      </c>
      <c r="F404" s="8">
        <v>19.97</v>
      </c>
      <c r="G404" s="4">
        <v>21</v>
      </c>
      <c r="H404" s="8">
        <v>3.17</v>
      </c>
      <c r="I404" s="4">
        <v>0</v>
      </c>
    </row>
    <row r="405" spans="1:9" x14ac:dyDescent="0.2">
      <c r="A405" s="2">
        <v>2</v>
      </c>
      <c r="B405" s="1" t="s">
        <v>97</v>
      </c>
      <c r="C405" s="4">
        <v>144</v>
      </c>
      <c r="D405" s="8">
        <v>11.03</v>
      </c>
      <c r="E405" s="4">
        <v>119</v>
      </c>
      <c r="F405" s="8">
        <v>19.16</v>
      </c>
      <c r="G405" s="4">
        <v>25</v>
      </c>
      <c r="H405" s="8">
        <v>3.78</v>
      </c>
      <c r="I405" s="4">
        <v>0</v>
      </c>
    </row>
    <row r="406" spans="1:9" x14ac:dyDescent="0.2">
      <c r="A406" s="2">
        <v>3</v>
      </c>
      <c r="B406" s="1" t="s">
        <v>84</v>
      </c>
      <c r="C406" s="4">
        <v>98</v>
      </c>
      <c r="D406" s="8">
        <v>7.5</v>
      </c>
      <c r="E406" s="4">
        <v>26</v>
      </c>
      <c r="F406" s="8">
        <v>4.1900000000000004</v>
      </c>
      <c r="G406" s="4">
        <v>72</v>
      </c>
      <c r="H406" s="8">
        <v>10.88</v>
      </c>
      <c r="I406" s="4">
        <v>0</v>
      </c>
    </row>
    <row r="407" spans="1:9" x14ac:dyDescent="0.2">
      <c r="A407" s="2">
        <v>4</v>
      </c>
      <c r="B407" s="1" t="s">
        <v>94</v>
      </c>
      <c r="C407" s="4">
        <v>89</v>
      </c>
      <c r="D407" s="8">
        <v>6.81</v>
      </c>
      <c r="E407" s="4">
        <v>34</v>
      </c>
      <c r="F407" s="8">
        <v>5.48</v>
      </c>
      <c r="G407" s="4">
        <v>55</v>
      </c>
      <c r="H407" s="8">
        <v>8.31</v>
      </c>
      <c r="I407" s="4">
        <v>0</v>
      </c>
    </row>
    <row r="408" spans="1:9" x14ac:dyDescent="0.2">
      <c r="A408" s="2">
        <v>5</v>
      </c>
      <c r="B408" s="1" t="s">
        <v>85</v>
      </c>
      <c r="C408" s="4">
        <v>77</v>
      </c>
      <c r="D408" s="8">
        <v>5.9</v>
      </c>
      <c r="E408" s="4">
        <v>20</v>
      </c>
      <c r="F408" s="8">
        <v>3.22</v>
      </c>
      <c r="G408" s="4">
        <v>57</v>
      </c>
      <c r="H408" s="8">
        <v>8.61</v>
      </c>
      <c r="I408" s="4">
        <v>0</v>
      </c>
    </row>
    <row r="409" spans="1:9" x14ac:dyDescent="0.2">
      <c r="A409" s="2">
        <v>6</v>
      </c>
      <c r="B409" s="1" t="s">
        <v>92</v>
      </c>
      <c r="C409" s="4">
        <v>74</v>
      </c>
      <c r="D409" s="8">
        <v>5.67</v>
      </c>
      <c r="E409" s="4">
        <v>35</v>
      </c>
      <c r="F409" s="8">
        <v>5.64</v>
      </c>
      <c r="G409" s="4">
        <v>39</v>
      </c>
      <c r="H409" s="8">
        <v>5.89</v>
      </c>
      <c r="I409" s="4">
        <v>0</v>
      </c>
    </row>
    <row r="410" spans="1:9" x14ac:dyDescent="0.2">
      <c r="A410" s="2">
        <v>7</v>
      </c>
      <c r="B410" s="1" t="s">
        <v>86</v>
      </c>
      <c r="C410" s="4">
        <v>55</v>
      </c>
      <c r="D410" s="8">
        <v>4.21</v>
      </c>
      <c r="E410" s="4">
        <v>10</v>
      </c>
      <c r="F410" s="8">
        <v>1.61</v>
      </c>
      <c r="G410" s="4">
        <v>45</v>
      </c>
      <c r="H410" s="8">
        <v>6.8</v>
      </c>
      <c r="I410" s="4">
        <v>0</v>
      </c>
    </row>
    <row r="411" spans="1:9" x14ac:dyDescent="0.2">
      <c r="A411" s="2">
        <v>8</v>
      </c>
      <c r="B411" s="1" t="s">
        <v>100</v>
      </c>
      <c r="C411" s="4">
        <v>49</v>
      </c>
      <c r="D411" s="8">
        <v>3.75</v>
      </c>
      <c r="E411" s="4">
        <v>32</v>
      </c>
      <c r="F411" s="8">
        <v>5.15</v>
      </c>
      <c r="G411" s="4">
        <v>6</v>
      </c>
      <c r="H411" s="8">
        <v>0.91</v>
      </c>
      <c r="I411" s="4">
        <v>0</v>
      </c>
    </row>
    <row r="412" spans="1:9" x14ac:dyDescent="0.2">
      <c r="A412" s="2">
        <v>9</v>
      </c>
      <c r="B412" s="1" t="s">
        <v>101</v>
      </c>
      <c r="C412" s="4">
        <v>44</v>
      </c>
      <c r="D412" s="8">
        <v>3.37</v>
      </c>
      <c r="E412" s="4">
        <v>38</v>
      </c>
      <c r="F412" s="8">
        <v>6.12</v>
      </c>
      <c r="G412" s="4">
        <v>6</v>
      </c>
      <c r="H412" s="8">
        <v>0.91</v>
      </c>
      <c r="I412" s="4">
        <v>0</v>
      </c>
    </row>
    <row r="413" spans="1:9" x14ac:dyDescent="0.2">
      <c r="A413" s="2">
        <v>9</v>
      </c>
      <c r="B413" s="1" t="s">
        <v>103</v>
      </c>
      <c r="C413" s="4">
        <v>44</v>
      </c>
      <c r="D413" s="8">
        <v>3.37</v>
      </c>
      <c r="E413" s="4">
        <v>31</v>
      </c>
      <c r="F413" s="8">
        <v>4.99</v>
      </c>
      <c r="G413" s="4">
        <v>13</v>
      </c>
      <c r="H413" s="8">
        <v>1.96</v>
      </c>
      <c r="I413" s="4">
        <v>0</v>
      </c>
    </row>
    <row r="414" spans="1:9" x14ac:dyDescent="0.2">
      <c r="A414" s="2">
        <v>11</v>
      </c>
      <c r="B414" s="1" t="s">
        <v>90</v>
      </c>
      <c r="C414" s="4">
        <v>41</v>
      </c>
      <c r="D414" s="8">
        <v>3.14</v>
      </c>
      <c r="E414" s="4">
        <v>28</v>
      </c>
      <c r="F414" s="8">
        <v>4.51</v>
      </c>
      <c r="G414" s="4">
        <v>13</v>
      </c>
      <c r="H414" s="8">
        <v>1.96</v>
      </c>
      <c r="I414" s="4">
        <v>0</v>
      </c>
    </row>
    <row r="415" spans="1:9" x14ac:dyDescent="0.2">
      <c r="A415" s="2">
        <v>12</v>
      </c>
      <c r="B415" s="1" t="s">
        <v>91</v>
      </c>
      <c r="C415" s="4">
        <v>36</v>
      </c>
      <c r="D415" s="8">
        <v>2.76</v>
      </c>
      <c r="E415" s="4">
        <v>16</v>
      </c>
      <c r="F415" s="8">
        <v>2.58</v>
      </c>
      <c r="G415" s="4">
        <v>20</v>
      </c>
      <c r="H415" s="8">
        <v>3.02</v>
      </c>
      <c r="I415" s="4">
        <v>0</v>
      </c>
    </row>
    <row r="416" spans="1:9" x14ac:dyDescent="0.2">
      <c r="A416" s="2">
        <v>13</v>
      </c>
      <c r="B416" s="1" t="s">
        <v>89</v>
      </c>
      <c r="C416" s="4">
        <v>30</v>
      </c>
      <c r="D416" s="8">
        <v>2.2999999999999998</v>
      </c>
      <c r="E416" s="4">
        <v>12</v>
      </c>
      <c r="F416" s="8">
        <v>1.93</v>
      </c>
      <c r="G416" s="4">
        <v>17</v>
      </c>
      <c r="H416" s="8">
        <v>2.57</v>
      </c>
      <c r="I416" s="4">
        <v>1</v>
      </c>
    </row>
    <row r="417" spans="1:9" x14ac:dyDescent="0.2">
      <c r="A417" s="2">
        <v>14</v>
      </c>
      <c r="B417" s="1" t="s">
        <v>95</v>
      </c>
      <c r="C417" s="4">
        <v>29</v>
      </c>
      <c r="D417" s="8">
        <v>2.2200000000000002</v>
      </c>
      <c r="E417" s="4">
        <v>21</v>
      </c>
      <c r="F417" s="8">
        <v>3.38</v>
      </c>
      <c r="G417" s="4">
        <v>8</v>
      </c>
      <c r="H417" s="8">
        <v>1.21</v>
      </c>
      <c r="I417" s="4">
        <v>0</v>
      </c>
    </row>
    <row r="418" spans="1:9" x14ac:dyDescent="0.2">
      <c r="A418" s="2">
        <v>15</v>
      </c>
      <c r="B418" s="1" t="s">
        <v>93</v>
      </c>
      <c r="C418" s="4">
        <v>28</v>
      </c>
      <c r="D418" s="8">
        <v>2.14</v>
      </c>
      <c r="E418" s="4">
        <v>2</v>
      </c>
      <c r="F418" s="8">
        <v>0.32</v>
      </c>
      <c r="G418" s="4">
        <v>26</v>
      </c>
      <c r="H418" s="8">
        <v>3.93</v>
      </c>
      <c r="I418" s="4">
        <v>0</v>
      </c>
    </row>
    <row r="419" spans="1:9" x14ac:dyDescent="0.2">
      <c r="A419" s="2">
        <v>16</v>
      </c>
      <c r="B419" s="1" t="s">
        <v>87</v>
      </c>
      <c r="C419" s="4">
        <v>25</v>
      </c>
      <c r="D419" s="8">
        <v>1.91</v>
      </c>
      <c r="E419" s="4">
        <v>5</v>
      </c>
      <c r="F419" s="8">
        <v>0.81</v>
      </c>
      <c r="G419" s="4">
        <v>20</v>
      </c>
      <c r="H419" s="8">
        <v>3.02</v>
      </c>
      <c r="I419" s="4">
        <v>0</v>
      </c>
    </row>
    <row r="420" spans="1:9" x14ac:dyDescent="0.2">
      <c r="A420" s="2">
        <v>17</v>
      </c>
      <c r="B420" s="1" t="s">
        <v>102</v>
      </c>
      <c r="C420" s="4">
        <v>23</v>
      </c>
      <c r="D420" s="8">
        <v>1.76</v>
      </c>
      <c r="E420" s="4">
        <v>0</v>
      </c>
      <c r="F420" s="8">
        <v>0</v>
      </c>
      <c r="G420" s="4">
        <v>13</v>
      </c>
      <c r="H420" s="8">
        <v>1.96</v>
      </c>
      <c r="I420" s="4">
        <v>0</v>
      </c>
    </row>
    <row r="421" spans="1:9" x14ac:dyDescent="0.2">
      <c r="A421" s="2">
        <v>18</v>
      </c>
      <c r="B421" s="1" t="s">
        <v>96</v>
      </c>
      <c r="C421" s="4">
        <v>21</v>
      </c>
      <c r="D421" s="8">
        <v>1.61</v>
      </c>
      <c r="E421" s="4">
        <v>11</v>
      </c>
      <c r="F421" s="8">
        <v>1.77</v>
      </c>
      <c r="G421" s="4">
        <v>10</v>
      </c>
      <c r="H421" s="8">
        <v>1.51</v>
      </c>
      <c r="I421" s="4">
        <v>0</v>
      </c>
    </row>
    <row r="422" spans="1:9" x14ac:dyDescent="0.2">
      <c r="A422" s="2">
        <v>18</v>
      </c>
      <c r="B422" s="1" t="s">
        <v>99</v>
      </c>
      <c r="C422" s="4">
        <v>21</v>
      </c>
      <c r="D422" s="8">
        <v>1.61</v>
      </c>
      <c r="E422" s="4">
        <v>6</v>
      </c>
      <c r="F422" s="8">
        <v>0.97</v>
      </c>
      <c r="G422" s="4">
        <v>15</v>
      </c>
      <c r="H422" s="8">
        <v>2.27</v>
      </c>
      <c r="I422" s="4">
        <v>0</v>
      </c>
    </row>
    <row r="423" spans="1:9" x14ac:dyDescent="0.2">
      <c r="A423" s="2">
        <v>20</v>
      </c>
      <c r="B423" s="1" t="s">
        <v>104</v>
      </c>
      <c r="C423" s="4">
        <v>17</v>
      </c>
      <c r="D423" s="8">
        <v>1.3</v>
      </c>
      <c r="E423" s="4">
        <v>1</v>
      </c>
      <c r="F423" s="8">
        <v>0.16</v>
      </c>
      <c r="G423" s="4">
        <v>16</v>
      </c>
      <c r="H423" s="8">
        <v>2.42</v>
      </c>
      <c r="I423" s="4">
        <v>0</v>
      </c>
    </row>
    <row r="424" spans="1:9" x14ac:dyDescent="0.2">
      <c r="A424" s="1"/>
      <c r="C424" s="4"/>
      <c r="D424" s="8"/>
      <c r="E424" s="4"/>
      <c r="F424" s="8"/>
      <c r="G424" s="4"/>
      <c r="H424" s="8"/>
      <c r="I424" s="4"/>
    </row>
    <row r="425" spans="1:9" x14ac:dyDescent="0.2">
      <c r="A425" s="1" t="s">
        <v>19</v>
      </c>
      <c r="C425" s="4"/>
      <c r="D425" s="8"/>
      <c r="E425" s="4"/>
      <c r="F425" s="8"/>
      <c r="G425" s="4"/>
      <c r="H425" s="8"/>
      <c r="I425" s="4"/>
    </row>
    <row r="426" spans="1:9" x14ac:dyDescent="0.2">
      <c r="A426" s="2">
        <v>1</v>
      </c>
      <c r="B426" s="1" t="s">
        <v>97</v>
      </c>
      <c r="C426" s="4">
        <v>220</v>
      </c>
      <c r="D426" s="8">
        <v>12.36</v>
      </c>
      <c r="E426" s="4">
        <v>204</v>
      </c>
      <c r="F426" s="8">
        <v>18.010000000000002</v>
      </c>
      <c r="G426" s="4">
        <v>16</v>
      </c>
      <c r="H426" s="8">
        <v>2.59</v>
      </c>
      <c r="I426" s="4">
        <v>0</v>
      </c>
    </row>
    <row r="427" spans="1:9" x14ac:dyDescent="0.2">
      <c r="A427" s="2">
        <v>2</v>
      </c>
      <c r="B427" s="1" t="s">
        <v>98</v>
      </c>
      <c r="C427" s="4">
        <v>198</v>
      </c>
      <c r="D427" s="8">
        <v>11.12</v>
      </c>
      <c r="E427" s="4">
        <v>188</v>
      </c>
      <c r="F427" s="8">
        <v>16.59</v>
      </c>
      <c r="G427" s="4">
        <v>10</v>
      </c>
      <c r="H427" s="8">
        <v>1.62</v>
      </c>
      <c r="I427" s="4">
        <v>0</v>
      </c>
    </row>
    <row r="428" spans="1:9" x14ac:dyDescent="0.2">
      <c r="A428" s="2">
        <v>3</v>
      </c>
      <c r="B428" s="1" t="s">
        <v>84</v>
      </c>
      <c r="C428" s="4">
        <v>149</v>
      </c>
      <c r="D428" s="8">
        <v>8.3699999999999992</v>
      </c>
      <c r="E428" s="4">
        <v>57</v>
      </c>
      <c r="F428" s="8">
        <v>5.03</v>
      </c>
      <c r="G428" s="4">
        <v>92</v>
      </c>
      <c r="H428" s="8">
        <v>14.89</v>
      </c>
      <c r="I428" s="4">
        <v>0</v>
      </c>
    </row>
    <row r="429" spans="1:9" x14ac:dyDescent="0.2">
      <c r="A429" s="2">
        <v>4</v>
      </c>
      <c r="B429" s="1" t="s">
        <v>92</v>
      </c>
      <c r="C429" s="4">
        <v>136</v>
      </c>
      <c r="D429" s="8">
        <v>7.64</v>
      </c>
      <c r="E429" s="4">
        <v>73</v>
      </c>
      <c r="F429" s="8">
        <v>6.44</v>
      </c>
      <c r="G429" s="4">
        <v>63</v>
      </c>
      <c r="H429" s="8">
        <v>10.19</v>
      </c>
      <c r="I429" s="4">
        <v>0</v>
      </c>
    </row>
    <row r="430" spans="1:9" x14ac:dyDescent="0.2">
      <c r="A430" s="2">
        <v>5</v>
      </c>
      <c r="B430" s="1" t="s">
        <v>85</v>
      </c>
      <c r="C430" s="4">
        <v>121</v>
      </c>
      <c r="D430" s="8">
        <v>6.8</v>
      </c>
      <c r="E430" s="4">
        <v>74</v>
      </c>
      <c r="F430" s="8">
        <v>6.53</v>
      </c>
      <c r="G430" s="4">
        <v>47</v>
      </c>
      <c r="H430" s="8">
        <v>7.61</v>
      </c>
      <c r="I430" s="4">
        <v>0</v>
      </c>
    </row>
    <row r="431" spans="1:9" x14ac:dyDescent="0.2">
      <c r="A431" s="2">
        <v>6</v>
      </c>
      <c r="B431" s="1" t="s">
        <v>90</v>
      </c>
      <c r="C431" s="4">
        <v>116</v>
      </c>
      <c r="D431" s="8">
        <v>6.52</v>
      </c>
      <c r="E431" s="4">
        <v>88</v>
      </c>
      <c r="F431" s="8">
        <v>7.77</v>
      </c>
      <c r="G431" s="4">
        <v>28</v>
      </c>
      <c r="H431" s="8">
        <v>4.53</v>
      </c>
      <c r="I431" s="4">
        <v>0</v>
      </c>
    </row>
    <row r="432" spans="1:9" x14ac:dyDescent="0.2">
      <c r="A432" s="2">
        <v>7</v>
      </c>
      <c r="B432" s="1" t="s">
        <v>86</v>
      </c>
      <c r="C432" s="4">
        <v>81</v>
      </c>
      <c r="D432" s="8">
        <v>4.55</v>
      </c>
      <c r="E432" s="4">
        <v>42</v>
      </c>
      <c r="F432" s="8">
        <v>3.71</v>
      </c>
      <c r="G432" s="4">
        <v>39</v>
      </c>
      <c r="H432" s="8">
        <v>6.31</v>
      </c>
      <c r="I432" s="4">
        <v>0</v>
      </c>
    </row>
    <row r="433" spans="1:9" x14ac:dyDescent="0.2">
      <c r="A433" s="2">
        <v>8</v>
      </c>
      <c r="B433" s="1" t="s">
        <v>94</v>
      </c>
      <c r="C433" s="4">
        <v>63</v>
      </c>
      <c r="D433" s="8">
        <v>3.54</v>
      </c>
      <c r="E433" s="4">
        <v>24</v>
      </c>
      <c r="F433" s="8">
        <v>2.12</v>
      </c>
      <c r="G433" s="4">
        <v>38</v>
      </c>
      <c r="H433" s="8">
        <v>6.15</v>
      </c>
      <c r="I433" s="4">
        <v>0</v>
      </c>
    </row>
    <row r="434" spans="1:9" x14ac:dyDescent="0.2">
      <c r="A434" s="2">
        <v>9</v>
      </c>
      <c r="B434" s="1" t="s">
        <v>101</v>
      </c>
      <c r="C434" s="4">
        <v>59</v>
      </c>
      <c r="D434" s="8">
        <v>3.31</v>
      </c>
      <c r="E434" s="4">
        <v>57</v>
      </c>
      <c r="F434" s="8">
        <v>5.03</v>
      </c>
      <c r="G434" s="4">
        <v>2</v>
      </c>
      <c r="H434" s="8">
        <v>0.32</v>
      </c>
      <c r="I434" s="4">
        <v>0</v>
      </c>
    </row>
    <row r="435" spans="1:9" x14ac:dyDescent="0.2">
      <c r="A435" s="2">
        <v>10</v>
      </c>
      <c r="B435" s="1" t="s">
        <v>100</v>
      </c>
      <c r="C435" s="4">
        <v>56</v>
      </c>
      <c r="D435" s="8">
        <v>3.15</v>
      </c>
      <c r="E435" s="4">
        <v>37</v>
      </c>
      <c r="F435" s="8">
        <v>3.27</v>
      </c>
      <c r="G435" s="4">
        <v>13</v>
      </c>
      <c r="H435" s="8">
        <v>2.1</v>
      </c>
      <c r="I435" s="4">
        <v>0</v>
      </c>
    </row>
    <row r="436" spans="1:9" x14ac:dyDescent="0.2">
      <c r="A436" s="2">
        <v>11</v>
      </c>
      <c r="B436" s="1" t="s">
        <v>91</v>
      </c>
      <c r="C436" s="4">
        <v>55</v>
      </c>
      <c r="D436" s="8">
        <v>3.09</v>
      </c>
      <c r="E436" s="4">
        <v>34</v>
      </c>
      <c r="F436" s="8">
        <v>3</v>
      </c>
      <c r="G436" s="4">
        <v>21</v>
      </c>
      <c r="H436" s="8">
        <v>3.4</v>
      </c>
      <c r="I436" s="4">
        <v>0</v>
      </c>
    </row>
    <row r="437" spans="1:9" x14ac:dyDescent="0.2">
      <c r="A437" s="2">
        <v>12</v>
      </c>
      <c r="B437" s="1" t="s">
        <v>103</v>
      </c>
      <c r="C437" s="4">
        <v>48</v>
      </c>
      <c r="D437" s="8">
        <v>2.7</v>
      </c>
      <c r="E437" s="4">
        <v>41</v>
      </c>
      <c r="F437" s="8">
        <v>3.62</v>
      </c>
      <c r="G437" s="4">
        <v>7</v>
      </c>
      <c r="H437" s="8">
        <v>1.1299999999999999</v>
      </c>
      <c r="I437" s="4">
        <v>0</v>
      </c>
    </row>
    <row r="438" spans="1:9" x14ac:dyDescent="0.2">
      <c r="A438" s="2">
        <v>13</v>
      </c>
      <c r="B438" s="1" t="s">
        <v>89</v>
      </c>
      <c r="C438" s="4">
        <v>38</v>
      </c>
      <c r="D438" s="8">
        <v>2.13</v>
      </c>
      <c r="E438" s="4">
        <v>18</v>
      </c>
      <c r="F438" s="8">
        <v>1.59</v>
      </c>
      <c r="G438" s="4">
        <v>19</v>
      </c>
      <c r="H438" s="8">
        <v>3.07</v>
      </c>
      <c r="I438" s="4">
        <v>1</v>
      </c>
    </row>
    <row r="439" spans="1:9" x14ac:dyDescent="0.2">
      <c r="A439" s="2">
        <v>14</v>
      </c>
      <c r="B439" s="1" t="s">
        <v>95</v>
      </c>
      <c r="C439" s="4">
        <v>28</v>
      </c>
      <c r="D439" s="8">
        <v>1.57</v>
      </c>
      <c r="E439" s="4">
        <v>22</v>
      </c>
      <c r="F439" s="8">
        <v>1.94</v>
      </c>
      <c r="G439" s="4">
        <v>6</v>
      </c>
      <c r="H439" s="8">
        <v>0.97</v>
      </c>
      <c r="I439" s="4">
        <v>0</v>
      </c>
    </row>
    <row r="440" spans="1:9" x14ac:dyDescent="0.2">
      <c r="A440" s="2">
        <v>15</v>
      </c>
      <c r="B440" s="1" t="s">
        <v>99</v>
      </c>
      <c r="C440" s="4">
        <v>27</v>
      </c>
      <c r="D440" s="8">
        <v>1.52</v>
      </c>
      <c r="E440" s="4">
        <v>15</v>
      </c>
      <c r="F440" s="8">
        <v>1.32</v>
      </c>
      <c r="G440" s="4">
        <v>12</v>
      </c>
      <c r="H440" s="8">
        <v>1.94</v>
      </c>
      <c r="I440" s="4">
        <v>0</v>
      </c>
    </row>
    <row r="441" spans="1:9" x14ac:dyDescent="0.2">
      <c r="A441" s="2">
        <v>16</v>
      </c>
      <c r="B441" s="1" t="s">
        <v>110</v>
      </c>
      <c r="C441" s="4">
        <v>24</v>
      </c>
      <c r="D441" s="8">
        <v>1.35</v>
      </c>
      <c r="E441" s="4">
        <v>5</v>
      </c>
      <c r="F441" s="8">
        <v>0.44</v>
      </c>
      <c r="G441" s="4">
        <v>19</v>
      </c>
      <c r="H441" s="8">
        <v>3.07</v>
      </c>
      <c r="I441" s="4">
        <v>0</v>
      </c>
    </row>
    <row r="442" spans="1:9" x14ac:dyDescent="0.2">
      <c r="A442" s="2">
        <v>17</v>
      </c>
      <c r="B442" s="1" t="s">
        <v>104</v>
      </c>
      <c r="C442" s="4">
        <v>21</v>
      </c>
      <c r="D442" s="8">
        <v>1.18</v>
      </c>
      <c r="E442" s="4">
        <v>8</v>
      </c>
      <c r="F442" s="8">
        <v>0.71</v>
      </c>
      <c r="G442" s="4">
        <v>13</v>
      </c>
      <c r="H442" s="8">
        <v>2.1</v>
      </c>
      <c r="I442" s="4">
        <v>0</v>
      </c>
    </row>
    <row r="443" spans="1:9" x14ac:dyDescent="0.2">
      <c r="A443" s="2">
        <v>18</v>
      </c>
      <c r="B443" s="1" t="s">
        <v>102</v>
      </c>
      <c r="C443" s="4">
        <v>20</v>
      </c>
      <c r="D443" s="8">
        <v>1.1200000000000001</v>
      </c>
      <c r="E443" s="4">
        <v>0</v>
      </c>
      <c r="F443" s="8">
        <v>0</v>
      </c>
      <c r="G443" s="4">
        <v>11</v>
      </c>
      <c r="H443" s="8">
        <v>1.78</v>
      </c>
      <c r="I443" s="4">
        <v>0</v>
      </c>
    </row>
    <row r="444" spans="1:9" x14ac:dyDescent="0.2">
      <c r="A444" s="2">
        <v>19</v>
      </c>
      <c r="B444" s="1" t="s">
        <v>93</v>
      </c>
      <c r="C444" s="4">
        <v>19</v>
      </c>
      <c r="D444" s="8">
        <v>1.07</v>
      </c>
      <c r="E444" s="4">
        <v>4</v>
      </c>
      <c r="F444" s="8">
        <v>0.35</v>
      </c>
      <c r="G444" s="4">
        <v>15</v>
      </c>
      <c r="H444" s="8">
        <v>2.4300000000000002</v>
      </c>
      <c r="I444" s="4">
        <v>0</v>
      </c>
    </row>
    <row r="445" spans="1:9" x14ac:dyDescent="0.2">
      <c r="A445" s="2">
        <v>19</v>
      </c>
      <c r="B445" s="1" t="s">
        <v>96</v>
      </c>
      <c r="C445" s="4">
        <v>19</v>
      </c>
      <c r="D445" s="8">
        <v>1.07</v>
      </c>
      <c r="E445" s="4">
        <v>13</v>
      </c>
      <c r="F445" s="8">
        <v>1.1499999999999999</v>
      </c>
      <c r="G445" s="4">
        <v>5</v>
      </c>
      <c r="H445" s="8">
        <v>0.81</v>
      </c>
      <c r="I445" s="4">
        <v>0</v>
      </c>
    </row>
    <row r="446" spans="1:9" x14ac:dyDescent="0.2">
      <c r="A446" s="1"/>
      <c r="C446" s="4"/>
      <c r="D446" s="8"/>
      <c r="E446" s="4"/>
      <c r="F446" s="8"/>
      <c r="G446" s="4"/>
      <c r="H446" s="8"/>
      <c r="I446" s="4"/>
    </row>
    <row r="447" spans="1:9" x14ac:dyDescent="0.2">
      <c r="A447" s="1" t="s">
        <v>20</v>
      </c>
      <c r="C447" s="4"/>
      <c r="D447" s="8"/>
      <c r="E447" s="4"/>
      <c r="F447" s="8"/>
      <c r="G447" s="4"/>
      <c r="H447" s="8"/>
      <c r="I447" s="4"/>
    </row>
    <row r="448" spans="1:9" x14ac:dyDescent="0.2">
      <c r="A448" s="2">
        <v>1</v>
      </c>
      <c r="B448" s="1" t="s">
        <v>94</v>
      </c>
      <c r="C448" s="4">
        <v>247</v>
      </c>
      <c r="D448" s="8">
        <v>12.06</v>
      </c>
      <c r="E448" s="4">
        <v>87</v>
      </c>
      <c r="F448" s="8">
        <v>10.31</v>
      </c>
      <c r="G448" s="4">
        <v>159</v>
      </c>
      <c r="H448" s="8">
        <v>13.29</v>
      </c>
      <c r="I448" s="4">
        <v>1</v>
      </c>
    </row>
    <row r="449" spans="1:9" x14ac:dyDescent="0.2">
      <c r="A449" s="2">
        <v>2</v>
      </c>
      <c r="B449" s="1" t="s">
        <v>98</v>
      </c>
      <c r="C449" s="4">
        <v>229</v>
      </c>
      <c r="D449" s="8">
        <v>11.18</v>
      </c>
      <c r="E449" s="4">
        <v>179</v>
      </c>
      <c r="F449" s="8">
        <v>21.21</v>
      </c>
      <c r="G449" s="4">
        <v>50</v>
      </c>
      <c r="H449" s="8">
        <v>4.18</v>
      </c>
      <c r="I449" s="4">
        <v>0</v>
      </c>
    </row>
    <row r="450" spans="1:9" x14ac:dyDescent="0.2">
      <c r="A450" s="2">
        <v>3</v>
      </c>
      <c r="B450" s="1" t="s">
        <v>97</v>
      </c>
      <c r="C450" s="4">
        <v>226</v>
      </c>
      <c r="D450" s="8">
        <v>11.04</v>
      </c>
      <c r="E450" s="4">
        <v>174</v>
      </c>
      <c r="F450" s="8">
        <v>20.62</v>
      </c>
      <c r="G450" s="4">
        <v>52</v>
      </c>
      <c r="H450" s="8">
        <v>4.3499999999999996</v>
      </c>
      <c r="I450" s="4">
        <v>0</v>
      </c>
    </row>
    <row r="451" spans="1:9" x14ac:dyDescent="0.2">
      <c r="A451" s="2">
        <v>4</v>
      </c>
      <c r="B451" s="1" t="s">
        <v>92</v>
      </c>
      <c r="C451" s="4">
        <v>122</v>
      </c>
      <c r="D451" s="8">
        <v>5.96</v>
      </c>
      <c r="E451" s="4">
        <v>52</v>
      </c>
      <c r="F451" s="8">
        <v>6.16</v>
      </c>
      <c r="G451" s="4">
        <v>70</v>
      </c>
      <c r="H451" s="8">
        <v>5.85</v>
      </c>
      <c r="I451" s="4">
        <v>0</v>
      </c>
    </row>
    <row r="452" spans="1:9" x14ac:dyDescent="0.2">
      <c r="A452" s="2">
        <v>5</v>
      </c>
      <c r="B452" s="1" t="s">
        <v>101</v>
      </c>
      <c r="C452" s="4">
        <v>109</v>
      </c>
      <c r="D452" s="8">
        <v>5.32</v>
      </c>
      <c r="E452" s="4">
        <v>82</v>
      </c>
      <c r="F452" s="8">
        <v>9.7200000000000006</v>
      </c>
      <c r="G452" s="4">
        <v>26</v>
      </c>
      <c r="H452" s="8">
        <v>2.17</v>
      </c>
      <c r="I452" s="4">
        <v>0</v>
      </c>
    </row>
    <row r="453" spans="1:9" x14ac:dyDescent="0.2">
      <c r="A453" s="2">
        <v>6</v>
      </c>
      <c r="B453" s="1" t="s">
        <v>100</v>
      </c>
      <c r="C453" s="4">
        <v>104</v>
      </c>
      <c r="D453" s="8">
        <v>5.08</v>
      </c>
      <c r="E453" s="4">
        <v>67</v>
      </c>
      <c r="F453" s="8">
        <v>7.94</v>
      </c>
      <c r="G453" s="4">
        <v>35</v>
      </c>
      <c r="H453" s="8">
        <v>2.93</v>
      </c>
      <c r="I453" s="4">
        <v>1</v>
      </c>
    </row>
    <row r="454" spans="1:9" x14ac:dyDescent="0.2">
      <c r="A454" s="2">
        <v>7</v>
      </c>
      <c r="B454" s="1" t="s">
        <v>95</v>
      </c>
      <c r="C454" s="4">
        <v>90</v>
      </c>
      <c r="D454" s="8">
        <v>4.3899999999999997</v>
      </c>
      <c r="E454" s="4">
        <v>31</v>
      </c>
      <c r="F454" s="8">
        <v>3.67</v>
      </c>
      <c r="G454" s="4">
        <v>59</v>
      </c>
      <c r="H454" s="8">
        <v>4.93</v>
      </c>
      <c r="I454" s="4">
        <v>0</v>
      </c>
    </row>
    <row r="455" spans="1:9" x14ac:dyDescent="0.2">
      <c r="A455" s="2">
        <v>8</v>
      </c>
      <c r="B455" s="1" t="s">
        <v>90</v>
      </c>
      <c r="C455" s="4">
        <v>77</v>
      </c>
      <c r="D455" s="8">
        <v>3.76</v>
      </c>
      <c r="E455" s="4">
        <v>36</v>
      </c>
      <c r="F455" s="8">
        <v>4.2699999999999996</v>
      </c>
      <c r="G455" s="4">
        <v>41</v>
      </c>
      <c r="H455" s="8">
        <v>3.43</v>
      </c>
      <c r="I455" s="4">
        <v>0</v>
      </c>
    </row>
    <row r="456" spans="1:9" x14ac:dyDescent="0.2">
      <c r="A456" s="2">
        <v>9</v>
      </c>
      <c r="B456" s="1" t="s">
        <v>84</v>
      </c>
      <c r="C456" s="4">
        <v>72</v>
      </c>
      <c r="D456" s="8">
        <v>3.52</v>
      </c>
      <c r="E456" s="4">
        <v>9</v>
      </c>
      <c r="F456" s="8">
        <v>1.07</v>
      </c>
      <c r="G456" s="4">
        <v>63</v>
      </c>
      <c r="H456" s="8">
        <v>5.27</v>
      </c>
      <c r="I456" s="4">
        <v>0</v>
      </c>
    </row>
    <row r="457" spans="1:9" x14ac:dyDescent="0.2">
      <c r="A457" s="2">
        <v>9</v>
      </c>
      <c r="B457" s="1" t="s">
        <v>86</v>
      </c>
      <c r="C457" s="4">
        <v>72</v>
      </c>
      <c r="D457" s="8">
        <v>3.52</v>
      </c>
      <c r="E457" s="4">
        <v>3</v>
      </c>
      <c r="F457" s="8">
        <v>0.36</v>
      </c>
      <c r="G457" s="4">
        <v>69</v>
      </c>
      <c r="H457" s="8">
        <v>5.77</v>
      </c>
      <c r="I457" s="4">
        <v>0</v>
      </c>
    </row>
    <row r="458" spans="1:9" x14ac:dyDescent="0.2">
      <c r="A458" s="2">
        <v>9</v>
      </c>
      <c r="B458" s="1" t="s">
        <v>96</v>
      </c>
      <c r="C458" s="4">
        <v>72</v>
      </c>
      <c r="D458" s="8">
        <v>3.52</v>
      </c>
      <c r="E458" s="4">
        <v>16</v>
      </c>
      <c r="F458" s="8">
        <v>1.9</v>
      </c>
      <c r="G458" s="4">
        <v>56</v>
      </c>
      <c r="H458" s="8">
        <v>4.68</v>
      </c>
      <c r="I458" s="4">
        <v>0</v>
      </c>
    </row>
    <row r="459" spans="1:9" x14ac:dyDescent="0.2">
      <c r="A459" s="2">
        <v>12</v>
      </c>
      <c r="B459" s="1" t="s">
        <v>85</v>
      </c>
      <c r="C459" s="4">
        <v>70</v>
      </c>
      <c r="D459" s="8">
        <v>3.42</v>
      </c>
      <c r="E459" s="4">
        <v>12</v>
      </c>
      <c r="F459" s="8">
        <v>1.42</v>
      </c>
      <c r="G459" s="4">
        <v>58</v>
      </c>
      <c r="H459" s="8">
        <v>4.8499999999999996</v>
      </c>
      <c r="I459" s="4">
        <v>0</v>
      </c>
    </row>
    <row r="460" spans="1:9" x14ac:dyDescent="0.2">
      <c r="A460" s="2">
        <v>13</v>
      </c>
      <c r="B460" s="1" t="s">
        <v>93</v>
      </c>
      <c r="C460" s="4">
        <v>46</v>
      </c>
      <c r="D460" s="8">
        <v>2.25</v>
      </c>
      <c r="E460" s="4">
        <v>3</v>
      </c>
      <c r="F460" s="8">
        <v>0.36</v>
      </c>
      <c r="G460" s="4">
        <v>43</v>
      </c>
      <c r="H460" s="8">
        <v>3.6</v>
      </c>
      <c r="I460" s="4">
        <v>0</v>
      </c>
    </row>
    <row r="461" spans="1:9" x14ac:dyDescent="0.2">
      <c r="A461" s="2">
        <v>14</v>
      </c>
      <c r="B461" s="1" t="s">
        <v>99</v>
      </c>
      <c r="C461" s="4">
        <v>36</v>
      </c>
      <c r="D461" s="8">
        <v>1.76</v>
      </c>
      <c r="E461" s="4">
        <v>15</v>
      </c>
      <c r="F461" s="8">
        <v>1.78</v>
      </c>
      <c r="G461" s="4">
        <v>20</v>
      </c>
      <c r="H461" s="8">
        <v>1.67</v>
      </c>
      <c r="I461" s="4">
        <v>0</v>
      </c>
    </row>
    <row r="462" spans="1:9" x14ac:dyDescent="0.2">
      <c r="A462" s="2">
        <v>15</v>
      </c>
      <c r="B462" s="1" t="s">
        <v>91</v>
      </c>
      <c r="C462" s="4">
        <v>34</v>
      </c>
      <c r="D462" s="8">
        <v>1.66</v>
      </c>
      <c r="E462" s="4">
        <v>15</v>
      </c>
      <c r="F462" s="8">
        <v>1.78</v>
      </c>
      <c r="G462" s="4">
        <v>19</v>
      </c>
      <c r="H462" s="8">
        <v>1.59</v>
      </c>
      <c r="I462" s="4">
        <v>0</v>
      </c>
    </row>
    <row r="463" spans="1:9" x14ac:dyDescent="0.2">
      <c r="A463" s="2">
        <v>16</v>
      </c>
      <c r="B463" s="1" t="s">
        <v>89</v>
      </c>
      <c r="C463" s="4">
        <v>33</v>
      </c>
      <c r="D463" s="8">
        <v>1.61</v>
      </c>
      <c r="E463" s="4">
        <v>11</v>
      </c>
      <c r="F463" s="8">
        <v>1.3</v>
      </c>
      <c r="G463" s="4">
        <v>22</v>
      </c>
      <c r="H463" s="8">
        <v>1.84</v>
      </c>
      <c r="I463" s="4">
        <v>0</v>
      </c>
    </row>
    <row r="464" spans="1:9" x14ac:dyDescent="0.2">
      <c r="A464" s="2">
        <v>17</v>
      </c>
      <c r="B464" s="1" t="s">
        <v>102</v>
      </c>
      <c r="C464" s="4">
        <v>32</v>
      </c>
      <c r="D464" s="8">
        <v>1.56</v>
      </c>
      <c r="E464" s="4">
        <v>1</v>
      </c>
      <c r="F464" s="8">
        <v>0.12</v>
      </c>
      <c r="G464" s="4">
        <v>30</v>
      </c>
      <c r="H464" s="8">
        <v>2.5099999999999998</v>
      </c>
      <c r="I464" s="4">
        <v>0</v>
      </c>
    </row>
    <row r="465" spans="1:9" x14ac:dyDescent="0.2">
      <c r="A465" s="2">
        <v>18</v>
      </c>
      <c r="B465" s="1" t="s">
        <v>88</v>
      </c>
      <c r="C465" s="4">
        <v>28</v>
      </c>
      <c r="D465" s="8">
        <v>1.37</v>
      </c>
      <c r="E465" s="4">
        <v>1</v>
      </c>
      <c r="F465" s="8">
        <v>0.12</v>
      </c>
      <c r="G465" s="4">
        <v>27</v>
      </c>
      <c r="H465" s="8">
        <v>2.2599999999999998</v>
      </c>
      <c r="I465" s="4">
        <v>0</v>
      </c>
    </row>
    <row r="466" spans="1:9" x14ac:dyDescent="0.2">
      <c r="A466" s="2">
        <v>19</v>
      </c>
      <c r="B466" s="1" t="s">
        <v>104</v>
      </c>
      <c r="C466" s="4">
        <v>26</v>
      </c>
      <c r="D466" s="8">
        <v>1.27</v>
      </c>
      <c r="E466" s="4">
        <v>2</v>
      </c>
      <c r="F466" s="8">
        <v>0.24</v>
      </c>
      <c r="G466" s="4">
        <v>24</v>
      </c>
      <c r="H466" s="8">
        <v>2.0099999999999998</v>
      </c>
      <c r="I466" s="4">
        <v>0</v>
      </c>
    </row>
    <row r="467" spans="1:9" x14ac:dyDescent="0.2">
      <c r="A467" s="2">
        <v>19</v>
      </c>
      <c r="B467" s="1" t="s">
        <v>105</v>
      </c>
      <c r="C467" s="4">
        <v>26</v>
      </c>
      <c r="D467" s="8">
        <v>1.27</v>
      </c>
      <c r="E467" s="4">
        <v>1</v>
      </c>
      <c r="F467" s="8">
        <v>0.12</v>
      </c>
      <c r="G467" s="4">
        <v>25</v>
      </c>
      <c r="H467" s="8">
        <v>2.09</v>
      </c>
      <c r="I467" s="4">
        <v>0</v>
      </c>
    </row>
    <row r="468" spans="1:9" x14ac:dyDescent="0.2">
      <c r="A468" s="1"/>
      <c r="C468" s="4"/>
      <c r="D468" s="8"/>
      <c r="E468" s="4"/>
      <c r="F468" s="8"/>
      <c r="G468" s="4"/>
      <c r="H468" s="8"/>
      <c r="I468" s="4"/>
    </row>
    <row r="469" spans="1:9" x14ac:dyDescent="0.2">
      <c r="A469" s="1" t="s">
        <v>21</v>
      </c>
      <c r="C469" s="4"/>
      <c r="D469" s="8"/>
      <c r="E469" s="4"/>
      <c r="F469" s="8"/>
      <c r="G469" s="4"/>
      <c r="H469" s="8"/>
      <c r="I469" s="4"/>
    </row>
    <row r="470" spans="1:9" x14ac:dyDescent="0.2">
      <c r="A470" s="2">
        <v>1</v>
      </c>
      <c r="B470" s="1" t="s">
        <v>98</v>
      </c>
      <c r="C470" s="4">
        <v>625</v>
      </c>
      <c r="D470" s="8">
        <v>9.93</v>
      </c>
      <c r="E470" s="4">
        <v>470</v>
      </c>
      <c r="F470" s="8">
        <v>20.43</v>
      </c>
      <c r="G470" s="4">
        <v>155</v>
      </c>
      <c r="H470" s="8">
        <v>3.9</v>
      </c>
      <c r="I470" s="4">
        <v>0</v>
      </c>
    </row>
    <row r="471" spans="1:9" x14ac:dyDescent="0.2">
      <c r="A471" s="2">
        <v>2</v>
      </c>
      <c r="B471" s="1" t="s">
        <v>94</v>
      </c>
      <c r="C471" s="4">
        <v>569</v>
      </c>
      <c r="D471" s="8">
        <v>9.0399999999999991</v>
      </c>
      <c r="E471" s="4">
        <v>118</v>
      </c>
      <c r="F471" s="8">
        <v>5.13</v>
      </c>
      <c r="G471" s="4">
        <v>448</v>
      </c>
      <c r="H471" s="8">
        <v>11.28</v>
      </c>
      <c r="I471" s="4">
        <v>1</v>
      </c>
    </row>
    <row r="472" spans="1:9" x14ac:dyDescent="0.2">
      <c r="A472" s="2">
        <v>3</v>
      </c>
      <c r="B472" s="1" t="s">
        <v>97</v>
      </c>
      <c r="C472" s="4">
        <v>556</v>
      </c>
      <c r="D472" s="8">
        <v>8.84</v>
      </c>
      <c r="E472" s="4">
        <v>438</v>
      </c>
      <c r="F472" s="8">
        <v>19.04</v>
      </c>
      <c r="G472" s="4">
        <v>118</v>
      </c>
      <c r="H472" s="8">
        <v>2.97</v>
      </c>
      <c r="I472" s="4">
        <v>0</v>
      </c>
    </row>
    <row r="473" spans="1:9" x14ac:dyDescent="0.2">
      <c r="A473" s="2">
        <v>4</v>
      </c>
      <c r="B473" s="1" t="s">
        <v>84</v>
      </c>
      <c r="C473" s="4">
        <v>377</v>
      </c>
      <c r="D473" s="8">
        <v>5.99</v>
      </c>
      <c r="E473" s="4">
        <v>45</v>
      </c>
      <c r="F473" s="8">
        <v>1.96</v>
      </c>
      <c r="G473" s="4">
        <v>332</v>
      </c>
      <c r="H473" s="8">
        <v>8.36</v>
      </c>
      <c r="I473" s="4">
        <v>0</v>
      </c>
    </row>
    <row r="474" spans="1:9" x14ac:dyDescent="0.2">
      <c r="A474" s="2">
        <v>5</v>
      </c>
      <c r="B474" s="1" t="s">
        <v>85</v>
      </c>
      <c r="C474" s="4">
        <v>346</v>
      </c>
      <c r="D474" s="8">
        <v>5.5</v>
      </c>
      <c r="E474" s="4">
        <v>64</v>
      </c>
      <c r="F474" s="8">
        <v>2.78</v>
      </c>
      <c r="G474" s="4">
        <v>282</v>
      </c>
      <c r="H474" s="8">
        <v>7.1</v>
      </c>
      <c r="I474" s="4">
        <v>0</v>
      </c>
    </row>
    <row r="475" spans="1:9" x14ac:dyDescent="0.2">
      <c r="A475" s="2">
        <v>6</v>
      </c>
      <c r="B475" s="1" t="s">
        <v>92</v>
      </c>
      <c r="C475" s="4">
        <v>315</v>
      </c>
      <c r="D475" s="8">
        <v>5.01</v>
      </c>
      <c r="E475" s="4">
        <v>107</v>
      </c>
      <c r="F475" s="8">
        <v>4.6500000000000004</v>
      </c>
      <c r="G475" s="4">
        <v>208</v>
      </c>
      <c r="H475" s="8">
        <v>5.24</v>
      </c>
      <c r="I475" s="4">
        <v>0</v>
      </c>
    </row>
    <row r="476" spans="1:9" x14ac:dyDescent="0.2">
      <c r="A476" s="2">
        <v>7</v>
      </c>
      <c r="B476" s="1" t="s">
        <v>100</v>
      </c>
      <c r="C476" s="4">
        <v>304</v>
      </c>
      <c r="D476" s="8">
        <v>4.83</v>
      </c>
      <c r="E476" s="4">
        <v>182</v>
      </c>
      <c r="F476" s="8">
        <v>7.91</v>
      </c>
      <c r="G476" s="4">
        <v>122</v>
      </c>
      <c r="H476" s="8">
        <v>3.07</v>
      </c>
      <c r="I476" s="4">
        <v>0</v>
      </c>
    </row>
    <row r="477" spans="1:9" x14ac:dyDescent="0.2">
      <c r="A477" s="2">
        <v>8</v>
      </c>
      <c r="B477" s="1" t="s">
        <v>101</v>
      </c>
      <c r="C477" s="4">
        <v>294</v>
      </c>
      <c r="D477" s="8">
        <v>4.67</v>
      </c>
      <c r="E477" s="4">
        <v>232</v>
      </c>
      <c r="F477" s="8">
        <v>10.09</v>
      </c>
      <c r="G477" s="4">
        <v>62</v>
      </c>
      <c r="H477" s="8">
        <v>1.56</v>
      </c>
      <c r="I477" s="4">
        <v>0</v>
      </c>
    </row>
    <row r="478" spans="1:9" x14ac:dyDescent="0.2">
      <c r="A478" s="2">
        <v>9</v>
      </c>
      <c r="B478" s="1" t="s">
        <v>95</v>
      </c>
      <c r="C478" s="4">
        <v>276</v>
      </c>
      <c r="D478" s="8">
        <v>4.3899999999999997</v>
      </c>
      <c r="E478" s="4">
        <v>119</v>
      </c>
      <c r="F478" s="8">
        <v>5.17</v>
      </c>
      <c r="G478" s="4">
        <v>157</v>
      </c>
      <c r="H478" s="8">
        <v>3.95</v>
      </c>
      <c r="I478" s="4">
        <v>0</v>
      </c>
    </row>
    <row r="479" spans="1:9" x14ac:dyDescent="0.2">
      <c r="A479" s="2">
        <v>10</v>
      </c>
      <c r="B479" s="1" t="s">
        <v>86</v>
      </c>
      <c r="C479" s="4">
        <v>223</v>
      </c>
      <c r="D479" s="8">
        <v>3.54</v>
      </c>
      <c r="E479" s="4">
        <v>25</v>
      </c>
      <c r="F479" s="8">
        <v>1.0900000000000001</v>
      </c>
      <c r="G479" s="4">
        <v>198</v>
      </c>
      <c r="H479" s="8">
        <v>4.99</v>
      </c>
      <c r="I479" s="4">
        <v>0</v>
      </c>
    </row>
    <row r="480" spans="1:9" x14ac:dyDescent="0.2">
      <c r="A480" s="2">
        <v>11</v>
      </c>
      <c r="B480" s="1" t="s">
        <v>91</v>
      </c>
      <c r="C480" s="4">
        <v>173</v>
      </c>
      <c r="D480" s="8">
        <v>2.75</v>
      </c>
      <c r="E480" s="4">
        <v>81</v>
      </c>
      <c r="F480" s="8">
        <v>3.52</v>
      </c>
      <c r="G480" s="4">
        <v>92</v>
      </c>
      <c r="H480" s="8">
        <v>2.3199999999999998</v>
      </c>
      <c r="I480" s="4">
        <v>0</v>
      </c>
    </row>
    <row r="481" spans="1:9" x14ac:dyDescent="0.2">
      <c r="A481" s="2">
        <v>12</v>
      </c>
      <c r="B481" s="1" t="s">
        <v>90</v>
      </c>
      <c r="C481" s="4">
        <v>169</v>
      </c>
      <c r="D481" s="8">
        <v>2.69</v>
      </c>
      <c r="E481" s="4">
        <v>102</v>
      </c>
      <c r="F481" s="8">
        <v>4.43</v>
      </c>
      <c r="G481" s="4">
        <v>67</v>
      </c>
      <c r="H481" s="8">
        <v>1.69</v>
      </c>
      <c r="I481" s="4">
        <v>0</v>
      </c>
    </row>
    <row r="482" spans="1:9" x14ac:dyDescent="0.2">
      <c r="A482" s="2">
        <v>13</v>
      </c>
      <c r="B482" s="1" t="s">
        <v>96</v>
      </c>
      <c r="C482" s="4">
        <v>149</v>
      </c>
      <c r="D482" s="8">
        <v>2.37</v>
      </c>
      <c r="E482" s="4">
        <v>35</v>
      </c>
      <c r="F482" s="8">
        <v>1.52</v>
      </c>
      <c r="G482" s="4">
        <v>113</v>
      </c>
      <c r="H482" s="8">
        <v>2.85</v>
      </c>
      <c r="I482" s="4">
        <v>0</v>
      </c>
    </row>
    <row r="483" spans="1:9" x14ac:dyDescent="0.2">
      <c r="A483" s="2">
        <v>14</v>
      </c>
      <c r="B483" s="1" t="s">
        <v>89</v>
      </c>
      <c r="C483" s="4">
        <v>140</v>
      </c>
      <c r="D483" s="8">
        <v>2.2200000000000002</v>
      </c>
      <c r="E483" s="4">
        <v>27</v>
      </c>
      <c r="F483" s="8">
        <v>1.17</v>
      </c>
      <c r="G483" s="4">
        <v>112</v>
      </c>
      <c r="H483" s="8">
        <v>2.82</v>
      </c>
      <c r="I483" s="4">
        <v>1</v>
      </c>
    </row>
    <row r="484" spans="1:9" x14ac:dyDescent="0.2">
      <c r="A484" s="2">
        <v>15</v>
      </c>
      <c r="B484" s="1" t="s">
        <v>88</v>
      </c>
      <c r="C484" s="4">
        <v>108</v>
      </c>
      <c r="D484" s="8">
        <v>1.72</v>
      </c>
      <c r="E484" s="4">
        <v>6</v>
      </c>
      <c r="F484" s="8">
        <v>0.26</v>
      </c>
      <c r="G484" s="4">
        <v>102</v>
      </c>
      <c r="H484" s="8">
        <v>2.57</v>
      </c>
      <c r="I484" s="4">
        <v>0</v>
      </c>
    </row>
    <row r="485" spans="1:9" x14ac:dyDescent="0.2">
      <c r="A485" s="2">
        <v>16</v>
      </c>
      <c r="B485" s="1" t="s">
        <v>93</v>
      </c>
      <c r="C485" s="4">
        <v>107</v>
      </c>
      <c r="D485" s="8">
        <v>1.7</v>
      </c>
      <c r="E485" s="4">
        <v>8</v>
      </c>
      <c r="F485" s="8">
        <v>0.35</v>
      </c>
      <c r="G485" s="4">
        <v>99</v>
      </c>
      <c r="H485" s="8">
        <v>2.4900000000000002</v>
      </c>
      <c r="I485" s="4">
        <v>0</v>
      </c>
    </row>
    <row r="486" spans="1:9" x14ac:dyDescent="0.2">
      <c r="A486" s="2">
        <v>17</v>
      </c>
      <c r="B486" s="1" t="s">
        <v>105</v>
      </c>
      <c r="C486" s="4">
        <v>100</v>
      </c>
      <c r="D486" s="8">
        <v>1.59</v>
      </c>
      <c r="E486" s="4">
        <v>4</v>
      </c>
      <c r="F486" s="8">
        <v>0.17</v>
      </c>
      <c r="G486" s="4">
        <v>95</v>
      </c>
      <c r="H486" s="8">
        <v>2.39</v>
      </c>
      <c r="I486" s="4">
        <v>1</v>
      </c>
    </row>
    <row r="487" spans="1:9" x14ac:dyDescent="0.2">
      <c r="A487" s="2">
        <v>18</v>
      </c>
      <c r="B487" s="1" t="s">
        <v>104</v>
      </c>
      <c r="C487" s="4">
        <v>97</v>
      </c>
      <c r="D487" s="8">
        <v>1.54</v>
      </c>
      <c r="E487" s="4">
        <v>9</v>
      </c>
      <c r="F487" s="8">
        <v>0.39</v>
      </c>
      <c r="G487" s="4">
        <v>87</v>
      </c>
      <c r="H487" s="8">
        <v>2.19</v>
      </c>
      <c r="I487" s="4">
        <v>1</v>
      </c>
    </row>
    <row r="488" spans="1:9" x14ac:dyDescent="0.2">
      <c r="A488" s="2">
        <v>19</v>
      </c>
      <c r="B488" s="1" t="s">
        <v>99</v>
      </c>
      <c r="C488" s="4">
        <v>96</v>
      </c>
      <c r="D488" s="8">
        <v>1.53</v>
      </c>
      <c r="E488" s="4">
        <v>31</v>
      </c>
      <c r="F488" s="8">
        <v>1.35</v>
      </c>
      <c r="G488" s="4">
        <v>65</v>
      </c>
      <c r="H488" s="8">
        <v>1.64</v>
      </c>
      <c r="I488" s="4">
        <v>0</v>
      </c>
    </row>
    <row r="489" spans="1:9" x14ac:dyDescent="0.2">
      <c r="A489" s="2">
        <v>20</v>
      </c>
      <c r="B489" s="1" t="s">
        <v>102</v>
      </c>
      <c r="C489" s="4">
        <v>91</v>
      </c>
      <c r="D489" s="8">
        <v>1.45</v>
      </c>
      <c r="E489" s="4">
        <v>1</v>
      </c>
      <c r="F489" s="8">
        <v>0.04</v>
      </c>
      <c r="G489" s="4">
        <v>86</v>
      </c>
      <c r="H489" s="8">
        <v>2.17</v>
      </c>
      <c r="I489" s="4">
        <v>0</v>
      </c>
    </row>
    <row r="490" spans="1:9" x14ac:dyDescent="0.2">
      <c r="A490" s="1"/>
      <c r="C490" s="4"/>
      <c r="D490" s="8"/>
      <c r="E490" s="4"/>
      <c r="F490" s="8"/>
      <c r="G490" s="4"/>
      <c r="H490" s="8"/>
      <c r="I490" s="4"/>
    </row>
    <row r="491" spans="1:9" x14ac:dyDescent="0.2">
      <c r="A491" s="1" t="s">
        <v>22</v>
      </c>
      <c r="C491" s="4"/>
      <c r="D491" s="8"/>
      <c r="E491" s="4"/>
      <c r="F491" s="8"/>
      <c r="G491" s="4"/>
      <c r="H491" s="8"/>
      <c r="I491" s="4"/>
    </row>
    <row r="492" spans="1:9" x14ac:dyDescent="0.2">
      <c r="A492" s="2">
        <v>1</v>
      </c>
      <c r="B492" s="1" t="s">
        <v>97</v>
      </c>
      <c r="C492" s="4">
        <v>92</v>
      </c>
      <c r="D492" s="8">
        <v>13.28</v>
      </c>
      <c r="E492" s="4">
        <v>81</v>
      </c>
      <c r="F492" s="8">
        <v>16.95</v>
      </c>
      <c r="G492" s="4">
        <v>11</v>
      </c>
      <c r="H492" s="8">
        <v>5.24</v>
      </c>
      <c r="I492" s="4">
        <v>0</v>
      </c>
    </row>
    <row r="493" spans="1:9" x14ac:dyDescent="0.2">
      <c r="A493" s="2">
        <v>2</v>
      </c>
      <c r="B493" s="1" t="s">
        <v>98</v>
      </c>
      <c r="C493" s="4">
        <v>70</v>
      </c>
      <c r="D493" s="8">
        <v>10.1</v>
      </c>
      <c r="E493" s="4">
        <v>64</v>
      </c>
      <c r="F493" s="8">
        <v>13.39</v>
      </c>
      <c r="G493" s="4">
        <v>6</v>
      </c>
      <c r="H493" s="8">
        <v>2.86</v>
      </c>
      <c r="I493" s="4">
        <v>0</v>
      </c>
    </row>
    <row r="494" spans="1:9" x14ac:dyDescent="0.2">
      <c r="A494" s="2">
        <v>3</v>
      </c>
      <c r="B494" s="1" t="s">
        <v>90</v>
      </c>
      <c r="C494" s="4">
        <v>67</v>
      </c>
      <c r="D494" s="8">
        <v>9.67</v>
      </c>
      <c r="E494" s="4">
        <v>51</v>
      </c>
      <c r="F494" s="8">
        <v>10.67</v>
      </c>
      <c r="G494" s="4">
        <v>16</v>
      </c>
      <c r="H494" s="8">
        <v>7.62</v>
      </c>
      <c r="I494" s="4">
        <v>0</v>
      </c>
    </row>
    <row r="495" spans="1:9" x14ac:dyDescent="0.2">
      <c r="A495" s="2">
        <v>3</v>
      </c>
      <c r="B495" s="1" t="s">
        <v>94</v>
      </c>
      <c r="C495" s="4">
        <v>67</v>
      </c>
      <c r="D495" s="8">
        <v>9.67</v>
      </c>
      <c r="E495" s="4">
        <v>62</v>
      </c>
      <c r="F495" s="8">
        <v>12.97</v>
      </c>
      <c r="G495" s="4">
        <v>5</v>
      </c>
      <c r="H495" s="8">
        <v>2.38</v>
      </c>
      <c r="I495" s="4">
        <v>0</v>
      </c>
    </row>
    <row r="496" spans="1:9" x14ac:dyDescent="0.2">
      <c r="A496" s="2">
        <v>5</v>
      </c>
      <c r="B496" s="1" t="s">
        <v>84</v>
      </c>
      <c r="C496" s="4">
        <v>62</v>
      </c>
      <c r="D496" s="8">
        <v>8.9499999999999993</v>
      </c>
      <c r="E496" s="4">
        <v>32</v>
      </c>
      <c r="F496" s="8">
        <v>6.69</v>
      </c>
      <c r="G496" s="4">
        <v>30</v>
      </c>
      <c r="H496" s="8">
        <v>14.29</v>
      </c>
      <c r="I496" s="4">
        <v>0</v>
      </c>
    </row>
    <row r="497" spans="1:9" x14ac:dyDescent="0.2">
      <c r="A497" s="2">
        <v>6</v>
      </c>
      <c r="B497" s="1" t="s">
        <v>92</v>
      </c>
      <c r="C497" s="4">
        <v>56</v>
      </c>
      <c r="D497" s="8">
        <v>8.08</v>
      </c>
      <c r="E497" s="4">
        <v>28</v>
      </c>
      <c r="F497" s="8">
        <v>5.86</v>
      </c>
      <c r="G497" s="4">
        <v>28</v>
      </c>
      <c r="H497" s="8">
        <v>13.33</v>
      </c>
      <c r="I497" s="4">
        <v>0</v>
      </c>
    </row>
    <row r="498" spans="1:9" x14ac:dyDescent="0.2">
      <c r="A498" s="2">
        <v>7</v>
      </c>
      <c r="B498" s="1" t="s">
        <v>111</v>
      </c>
      <c r="C498" s="4">
        <v>40</v>
      </c>
      <c r="D498" s="8">
        <v>5.77</v>
      </c>
      <c r="E498" s="4">
        <v>32</v>
      </c>
      <c r="F498" s="8">
        <v>6.69</v>
      </c>
      <c r="G498" s="4">
        <v>8</v>
      </c>
      <c r="H498" s="8">
        <v>3.81</v>
      </c>
      <c r="I498" s="4">
        <v>0</v>
      </c>
    </row>
    <row r="499" spans="1:9" x14ac:dyDescent="0.2">
      <c r="A499" s="2">
        <v>8</v>
      </c>
      <c r="B499" s="1" t="s">
        <v>85</v>
      </c>
      <c r="C499" s="4">
        <v>28</v>
      </c>
      <c r="D499" s="8">
        <v>4.04</v>
      </c>
      <c r="E499" s="4">
        <v>24</v>
      </c>
      <c r="F499" s="8">
        <v>5.0199999999999996</v>
      </c>
      <c r="G499" s="4">
        <v>4</v>
      </c>
      <c r="H499" s="8">
        <v>1.9</v>
      </c>
      <c r="I499" s="4">
        <v>0</v>
      </c>
    </row>
    <row r="500" spans="1:9" x14ac:dyDescent="0.2">
      <c r="A500" s="2">
        <v>9</v>
      </c>
      <c r="B500" s="1" t="s">
        <v>86</v>
      </c>
      <c r="C500" s="4">
        <v>19</v>
      </c>
      <c r="D500" s="8">
        <v>2.74</v>
      </c>
      <c r="E500" s="4">
        <v>10</v>
      </c>
      <c r="F500" s="8">
        <v>2.09</v>
      </c>
      <c r="G500" s="4">
        <v>9</v>
      </c>
      <c r="H500" s="8">
        <v>4.29</v>
      </c>
      <c r="I500" s="4">
        <v>0</v>
      </c>
    </row>
    <row r="501" spans="1:9" x14ac:dyDescent="0.2">
      <c r="A501" s="2">
        <v>10</v>
      </c>
      <c r="B501" s="1" t="s">
        <v>100</v>
      </c>
      <c r="C501" s="4">
        <v>16</v>
      </c>
      <c r="D501" s="8">
        <v>2.31</v>
      </c>
      <c r="E501" s="4">
        <v>12</v>
      </c>
      <c r="F501" s="8">
        <v>2.5099999999999998</v>
      </c>
      <c r="G501" s="4">
        <v>2</v>
      </c>
      <c r="H501" s="8">
        <v>0.95</v>
      </c>
      <c r="I501" s="4">
        <v>0</v>
      </c>
    </row>
    <row r="502" spans="1:9" x14ac:dyDescent="0.2">
      <c r="A502" s="2">
        <v>11</v>
      </c>
      <c r="B502" s="1" t="s">
        <v>109</v>
      </c>
      <c r="C502" s="4">
        <v>14</v>
      </c>
      <c r="D502" s="8">
        <v>2.02</v>
      </c>
      <c r="E502" s="4">
        <v>5</v>
      </c>
      <c r="F502" s="8">
        <v>1.05</v>
      </c>
      <c r="G502" s="4">
        <v>9</v>
      </c>
      <c r="H502" s="8">
        <v>4.29</v>
      </c>
      <c r="I502" s="4">
        <v>0</v>
      </c>
    </row>
    <row r="503" spans="1:9" x14ac:dyDescent="0.2">
      <c r="A503" s="2">
        <v>12</v>
      </c>
      <c r="B503" s="1" t="s">
        <v>91</v>
      </c>
      <c r="C503" s="4">
        <v>12</v>
      </c>
      <c r="D503" s="8">
        <v>1.73</v>
      </c>
      <c r="E503" s="4">
        <v>8</v>
      </c>
      <c r="F503" s="8">
        <v>1.67</v>
      </c>
      <c r="G503" s="4">
        <v>4</v>
      </c>
      <c r="H503" s="8">
        <v>1.9</v>
      </c>
      <c r="I503" s="4">
        <v>0</v>
      </c>
    </row>
    <row r="504" spans="1:9" x14ac:dyDescent="0.2">
      <c r="A504" s="2">
        <v>13</v>
      </c>
      <c r="B504" s="1" t="s">
        <v>112</v>
      </c>
      <c r="C504" s="4">
        <v>10</v>
      </c>
      <c r="D504" s="8">
        <v>1.44</v>
      </c>
      <c r="E504" s="4">
        <v>8</v>
      </c>
      <c r="F504" s="8">
        <v>1.67</v>
      </c>
      <c r="G504" s="4">
        <v>2</v>
      </c>
      <c r="H504" s="8">
        <v>0.95</v>
      </c>
      <c r="I504" s="4">
        <v>0</v>
      </c>
    </row>
    <row r="505" spans="1:9" x14ac:dyDescent="0.2">
      <c r="A505" s="2">
        <v>14</v>
      </c>
      <c r="B505" s="1" t="s">
        <v>89</v>
      </c>
      <c r="C505" s="4">
        <v>9</v>
      </c>
      <c r="D505" s="8">
        <v>1.3</v>
      </c>
      <c r="E505" s="4">
        <v>6</v>
      </c>
      <c r="F505" s="8">
        <v>1.26</v>
      </c>
      <c r="G505" s="4">
        <v>3</v>
      </c>
      <c r="H505" s="8">
        <v>1.43</v>
      </c>
      <c r="I505" s="4">
        <v>0</v>
      </c>
    </row>
    <row r="506" spans="1:9" x14ac:dyDescent="0.2">
      <c r="A506" s="2">
        <v>14</v>
      </c>
      <c r="B506" s="1" t="s">
        <v>101</v>
      </c>
      <c r="C506" s="4">
        <v>9</v>
      </c>
      <c r="D506" s="8">
        <v>1.3</v>
      </c>
      <c r="E506" s="4">
        <v>8</v>
      </c>
      <c r="F506" s="8">
        <v>1.67</v>
      </c>
      <c r="G506" s="4">
        <v>1</v>
      </c>
      <c r="H506" s="8">
        <v>0.48</v>
      </c>
      <c r="I506" s="4">
        <v>0</v>
      </c>
    </row>
    <row r="507" spans="1:9" x14ac:dyDescent="0.2">
      <c r="A507" s="2">
        <v>16</v>
      </c>
      <c r="B507" s="1" t="s">
        <v>103</v>
      </c>
      <c r="C507" s="4">
        <v>8</v>
      </c>
      <c r="D507" s="8">
        <v>1.1499999999999999</v>
      </c>
      <c r="E507" s="4">
        <v>5</v>
      </c>
      <c r="F507" s="8">
        <v>1.05</v>
      </c>
      <c r="G507" s="4">
        <v>3</v>
      </c>
      <c r="H507" s="8">
        <v>1.43</v>
      </c>
      <c r="I507" s="4">
        <v>0</v>
      </c>
    </row>
    <row r="508" spans="1:9" x14ac:dyDescent="0.2">
      <c r="A508" s="2">
        <v>17</v>
      </c>
      <c r="B508" s="1" t="s">
        <v>96</v>
      </c>
      <c r="C508" s="4">
        <v>7</v>
      </c>
      <c r="D508" s="8">
        <v>1.01</v>
      </c>
      <c r="E508" s="4">
        <v>3</v>
      </c>
      <c r="F508" s="8">
        <v>0.63</v>
      </c>
      <c r="G508" s="4">
        <v>4</v>
      </c>
      <c r="H508" s="8">
        <v>1.9</v>
      </c>
      <c r="I508" s="4">
        <v>0</v>
      </c>
    </row>
    <row r="509" spans="1:9" x14ac:dyDescent="0.2">
      <c r="A509" s="2">
        <v>17</v>
      </c>
      <c r="B509" s="1" t="s">
        <v>107</v>
      </c>
      <c r="C509" s="4">
        <v>7</v>
      </c>
      <c r="D509" s="8">
        <v>1.01</v>
      </c>
      <c r="E509" s="4">
        <v>3</v>
      </c>
      <c r="F509" s="8">
        <v>0.63</v>
      </c>
      <c r="G509" s="4">
        <v>3</v>
      </c>
      <c r="H509" s="8">
        <v>1.43</v>
      </c>
      <c r="I509" s="4">
        <v>0</v>
      </c>
    </row>
    <row r="510" spans="1:9" x14ac:dyDescent="0.2">
      <c r="A510" s="2">
        <v>17</v>
      </c>
      <c r="B510" s="1" t="s">
        <v>99</v>
      </c>
      <c r="C510" s="4">
        <v>7</v>
      </c>
      <c r="D510" s="8">
        <v>1.01</v>
      </c>
      <c r="E510" s="4">
        <v>3</v>
      </c>
      <c r="F510" s="8">
        <v>0.63</v>
      </c>
      <c r="G510" s="4">
        <v>4</v>
      </c>
      <c r="H510" s="8">
        <v>1.9</v>
      </c>
      <c r="I510" s="4">
        <v>0</v>
      </c>
    </row>
    <row r="511" spans="1:9" x14ac:dyDescent="0.2">
      <c r="A511" s="2">
        <v>20</v>
      </c>
      <c r="B511" s="1" t="s">
        <v>110</v>
      </c>
      <c r="C511" s="4">
        <v>6</v>
      </c>
      <c r="D511" s="8">
        <v>0.87</v>
      </c>
      <c r="E511" s="4">
        <v>1</v>
      </c>
      <c r="F511" s="8">
        <v>0.21</v>
      </c>
      <c r="G511" s="4">
        <v>5</v>
      </c>
      <c r="H511" s="8">
        <v>2.38</v>
      </c>
      <c r="I511" s="4">
        <v>0</v>
      </c>
    </row>
    <row r="512" spans="1:9" x14ac:dyDescent="0.2">
      <c r="A512" s="2">
        <v>20</v>
      </c>
      <c r="B512" s="1" t="s">
        <v>116</v>
      </c>
      <c r="C512" s="4">
        <v>6</v>
      </c>
      <c r="D512" s="8">
        <v>0.87</v>
      </c>
      <c r="E512" s="4">
        <v>6</v>
      </c>
      <c r="F512" s="8">
        <v>1.26</v>
      </c>
      <c r="G512" s="4">
        <v>0</v>
      </c>
      <c r="H512" s="8">
        <v>0</v>
      </c>
      <c r="I512" s="4">
        <v>0</v>
      </c>
    </row>
    <row r="513" spans="1:9" x14ac:dyDescent="0.2">
      <c r="A513" s="2">
        <v>20</v>
      </c>
      <c r="B513" s="1" t="s">
        <v>104</v>
      </c>
      <c r="C513" s="4">
        <v>6</v>
      </c>
      <c r="D513" s="8">
        <v>0.87</v>
      </c>
      <c r="E513" s="4">
        <v>1</v>
      </c>
      <c r="F513" s="8">
        <v>0.21</v>
      </c>
      <c r="G513" s="4">
        <v>5</v>
      </c>
      <c r="H513" s="8">
        <v>2.38</v>
      </c>
      <c r="I513" s="4">
        <v>0</v>
      </c>
    </row>
    <row r="514" spans="1:9" x14ac:dyDescent="0.2">
      <c r="A514" s="1"/>
      <c r="C514" s="4"/>
      <c r="D514" s="8"/>
      <c r="E514" s="4"/>
      <c r="F514" s="8"/>
      <c r="G514" s="4"/>
      <c r="H514" s="8"/>
      <c r="I514" s="4"/>
    </row>
    <row r="515" spans="1:9" x14ac:dyDescent="0.2">
      <c r="A515" s="1" t="s">
        <v>23</v>
      </c>
      <c r="C515" s="4"/>
      <c r="D515" s="8"/>
      <c r="E515" s="4"/>
      <c r="F515" s="8"/>
      <c r="G515" s="4"/>
      <c r="H515" s="8"/>
      <c r="I515" s="4"/>
    </row>
    <row r="516" spans="1:9" x14ac:dyDescent="0.2">
      <c r="A516" s="2">
        <v>1</v>
      </c>
      <c r="B516" s="1" t="s">
        <v>98</v>
      </c>
      <c r="C516" s="4">
        <v>525</v>
      </c>
      <c r="D516" s="8">
        <v>11.97</v>
      </c>
      <c r="E516" s="4">
        <v>415</v>
      </c>
      <c r="F516" s="8">
        <v>26.04</v>
      </c>
      <c r="G516" s="4">
        <v>110</v>
      </c>
      <c r="H516" s="8">
        <v>3.95</v>
      </c>
      <c r="I516" s="4">
        <v>0</v>
      </c>
    </row>
    <row r="517" spans="1:9" x14ac:dyDescent="0.2">
      <c r="A517" s="2">
        <v>2</v>
      </c>
      <c r="B517" s="1" t="s">
        <v>97</v>
      </c>
      <c r="C517" s="4">
        <v>439</v>
      </c>
      <c r="D517" s="8">
        <v>10.01</v>
      </c>
      <c r="E517" s="4">
        <v>352</v>
      </c>
      <c r="F517" s="8">
        <v>22.08</v>
      </c>
      <c r="G517" s="4">
        <v>87</v>
      </c>
      <c r="H517" s="8">
        <v>3.12</v>
      </c>
      <c r="I517" s="4">
        <v>0</v>
      </c>
    </row>
    <row r="518" spans="1:9" x14ac:dyDescent="0.2">
      <c r="A518" s="2">
        <v>3</v>
      </c>
      <c r="B518" s="1" t="s">
        <v>86</v>
      </c>
      <c r="C518" s="4">
        <v>410</v>
      </c>
      <c r="D518" s="8">
        <v>9.35</v>
      </c>
      <c r="E518" s="4">
        <v>27</v>
      </c>
      <c r="F518" s="8">
        <v>1.69</v>
      </c>
      <c r="G518" s="4">
        <v>383</v>
      </c>
      <c r="H518" s="8">
        <v>13.75</v>
      </c>
      <c r="I518" s="4">
        <v>0</v>
      </c>
    </row>
    <row r="519" spans="1:9" x14ac:dyDescent="0.2">
      <c r="A519" s="2">
        <v>4</v>
      </c>
      <c r="B519" s="1" t="s">
        <v>85</v>
      </c>
      <c r="C519" s="4">
        <v>308</v>
      </c>
      <c r="D519" s="8">
        <v>7.02</v>
      </c>
      <c r="E519" s="4">
        <v>54</v>
      </c>
      <c r="F519" s="8">
        <v>3.39</v>
      </c>
      <c r="G519" s="4">
        <v>254</v>
      </c>
      <c r="H519" s="8">
        <v>9.1199999999999992</v>
      </c>
      <c r="I519" s="4">
        <v>0</v>
      </c>
    </row>
    <row r="520" spans="1:9" x14ac:dyDescent="0.2">
      <c r="A520" s="2">
        <v>5</v>
      </c>
      <c r="B520" s="1" t="s">
        <v>84</v>
      </c>
      <c r="C520" s="4">
        <v>306</v>
      </c>
      <c r="D520" s="8">
        <v>6.98</v>
      </c>
      <c r="E520" s="4">
        <v>32</v>
      </c>
      <c r="F520" s="8">
        <v>2.0099999999999998</v>
      </c>
      <c r="G520" s="4">
        <v>274</v>
      </c>
      <c r="H520" s="8">
        <v>9.84</v>
      </c>
      <c r="I520" s="4">
        <v>0</v>
      </c>
    </row>
    <row r="521" spans="1:9" x14ac:dyDescent="0.2">
      <c r="A521" s="2">
        <v>6</v>
      </c>
      <c r="B521" s="1" t="s">
        <v>92</v>
      </c>
      <c r="C521" s="4">
        <v>258</v>
      </c>
      <c r="D521" s="8">
        <v>5.88</v>
      </c>
      <c r="E521" s="4">
        <v>87</v>
      </c>
      <c r="F521" s="8">
        <v>5.46</v>
      </c>
      <c r="G521" s="4">
        <v>171</v>
      </c>
      <c r="H521" s="8">
        <v>6.14</v>
      </c>
      <c r="I521" s="4">
        <v>0</v>
      </c>
    </row>
    <row r="522" spans="1:9" x14ac:dyDescent="0.2">
      <c r="A522" s="2">
        <v>7</v>
      </c>
      <c r="B522" s="1" t="s">
        <v>94</v>
      </c>
      <c r="C522" s="4">
        <v>250</v>
      </c>
      <c r="D522" s="8">
        <v>5.7</v>
      </c>
      <c r="E522" s="4">
        <v>33</v>
      </c>
      <c r="F522" s="8">
        <v>2.0699999999999998</v>
      </c>
      <c r="G522" s="4">
        <v>216</v>
      </c>
      <c r="H522" s="8">
        <v>7.76</v>
      </c>
      <c r="I522" s="4">
        <v>0</v>
      </c>
    </row>
    <row r="523" spans="1:9" x14ac:dyDescent="0.2">
      <c r="A523" s="2">
        <v>8</v>
      </c>
      <c r="B523" s="1" t="s">
        <v>90</v>
      </c>
      <c r="C523" s="4">
        <v>175</v>
      </c>
      <c r="D523" s="8">
        <v>3.99</v>
      </c>
      <c r="E523" s="4">
        <v>100</v>
      </c>
      <c r="F523" s="8">
        <v>6.27</v>
      </c>
      <c r="G523" s="4">
        <v>75</v>
      </c>
      <c r="H523" s="8">
        <v>2.69</v>
      </c>
      <c r="I523" s="4">
        <v>0</v>
      </c>
    </row>
    <row r="524" spans="1:9" x14ac:dyDescent="0.2">
      <c r="A524" s="2">
        <v>9</v>
      </c>
      <c r="B524" s="1" t="s">
        <v>101</v>
      </c>
      <c r="C524" s="4">
        <v>140</v>
      </c>
      <c r="D524" s="8">
        <v>3.19</v>
      </c>
      <c r="E524" s="4">
        <v>117</v>
      </c>
      <c r="F524" s="8">
        <v>7.34</v>
      </c>
      <c r="G524" s="4">
        <v>23</v>
      </c>
      <c r="H524" s="8">
        <v>0.83</v>
      </c>
      <c r="I524" s="4">
        <v>0</v>
      </c>
    </row>
    <row r="525" spans="1:9" x14ac:dyDescent="0.2">
      <c r="A525" s="2">
        <v>10</v>
      </c>
      <c r="B525" s="1" t="s">
        <v>91</v>
      </c>
      <c r="C525" s="4">
        <v>132</v>
      </c>
      <c r="D525" s="8">
        <v>3.01</v>
      </c>
      <c r="E525" s="4">
        <v>55</v>
      </c>
      <c r="F525" s="8">
        <v>3.45</v>
      </c>
      <c r="G525" s="4">
        <v>77</v>
      </c>
      <c r="H525" s="8">
        <v>2.76</v>
      </c>
      <c r="I525" s="4">
        <v>0</v>
      </c>
    </row>
    <row r="526" spans="1:9" x14ac:dyDescent="0.2">
      <c r="A526" s="2">
        <v>11</v>
      </c>
      <c r="B526" s="1" t="s">
        <v>100</v>
      </c>
      <c r="C526" s="4">
        <v>129</v>
      </c>
      <c r="D526" s="8">
        <v>2.94</v>
      </c>
      <c r="E526" s="4">
        <v>80</v>
      </c>
      <c r="F526" s="8">
        <v>5.0199999999999996</v>
      </c>
      <c r="G526" s="4">
        <v>45</v>
      </c>
      <c r="H526" s="8">
        <v>1.62</v>
      </c>
      <c r="I526" s="4">
        <v>1</v>
      </c>
    </row>
    <row r="527" spans="1:9" x14ac:dyDescent="0.2">
      <c r="A527" s="2">
        <v>12</v>
      </c>
      <c r="B527" s="1" t="s">
        <v>96</v>
      </c>
      <c r="C527" s="4">
        <v>100</v>
      </c>
      <c r="D527" s="8">
        <v>2.2799999999999998</v>
      </c>
      <c r="E527" s="4">
        <v>18</v>
      </c>
      <c r="F527" s="8">
        <v>1.1299999999999999</v>
      </c>
      <c r="G527" s="4">
        <v>82</v>
      </c>
      <c r="H527" s="8">
        <v>2.94</v>
      </c>
      <c r="I527" s="4">
        <v>0</v>
      </c>
    </row>
    <row r="528" spans="1:9" x14ac:dyDescent="0.2">
      <c r="A528" s="2">
        <v>13</v>
      </c>
      <c r="B528" s="1" t="s">
        <v>87</v>
      </c>
      <c r="C528" s="4">
        <v>85</v>
      </c>
      <c r="D528" s="8">
        <v>1.94</v>
      </c>
      <c r="E528" s="4">
        <v>3</v>
      </c>
      <c r="F528" s="8">
        <v>0.19</v>
      </c>
      <c r="G528" s="4">
        <v>82</v>
      </c>
      <c r="H528" s="8">
        <v>2.94</v>
      </c>
      <c r="I528" s="4">
        <v>0</v>
      </c>
    </row>
    <row r="529" spans="1:9" x14ac:dyDescent="0.2">
      <c r="A529" s="2">
        <v>13</v>
      </c>
      <c r="B529" s="1" t="s">
        <v>95</v>
      </c>
      <c r="C529" s="4">
        <v>85</v>
      </c>
      <c r="D529" s="8">
        <v>1.94</v>
      </c>
      <c r="E529" s="4">
        <v>54</v>
      </c>
      <c r="F529" s="8">
        <v>3.39</v>
      </c>
      <c r="G529" s="4">
        <v>31</v>
      </c>
      <c r="H529" s="8">
        <v>1.1100000000000001</v>
      </c>
      <c r="I529" s="4">
        <v>0</v>
      </c>
    </row>
    <row r="530" spans="1:9" x14ac:dyDescent="0.2">
      <c r="A530" s="2">
        <v>15</v>
      </c>
      <c r="B530" s="1" t="s">
        <v>103</v>
      </c>
      <c r="C530" s="4">
        <v>80</v>
      </c>
      <c r="D530" s="8">
        <v>1.82</v>
      </c>
      <c r="E530" s="4">
        <v>41</v>
      </c>
      <c r="F530" s="8">
        <v>2.57</v>
      </c>
      <c r="G530" s="4">
        <v>39</v>
      </c>
      <c r="H530" s="8">
        <v>1.4</v>
      </c>
      <c r="I530" s="4">
        <v>0</v>
      </c>
    </row>
    <row r="531" spans="1:9" x14ac:dyDescent="0.2">
      <c r="A531" s="2">
        <v>16</v>
      </c>
      <c r="B531" s="1" t="s">
        <v>93</v>
      </c>
      <c r="C531" s="4">
        <v>78</v>
      </c>
      <c r="D531" s="8">
        <v>1.78</v>
      </c>
      <c r="E531" s="4">
        <v>2</v>
      </c>
      <c r="F531" s="8">
        <v>0.13</v>
      </c>
      <c r="G531" s="4">
        <v>76</v>
      </c>
      <c r="H531" s="8">
        <v>2.73</v>
      </c>
      <c r="I531" s="4">
        <v>0</v>
      </c>
    </row>
    <row r="532" spans="1:9" x14ac:dyDescent="0.2">
      <c r="A532" s="2">
        <v>17</v>
      </c>
      <c r="B532" s="1" t="s">
        <v>89</v>
      </c>
      <c r="C532" s="4">
        <v>75</v>
      </c>
      <c r="D532" s="8">
        <v>1.71</v>
      </c>
      <c r="E532" s="4">
        <v>30</v>
      </c>
      <c r="F532" s="8">
        <v>1.88</v>
      </c>
      <c r="G532" s="4">
        <v>45</v>
      </c>
      <c r="H532" s="8">
        <v>1.62</v>
      </c>
      <c r="I532" s="4">
        <v>0</v>
      </c>
    </row>
    <row r="533" spans="1:9" x14ac:dyDescent="0.2">
      <c r="A533" s="2">
        <v>18</v>
      </c>
      <c r="B533" s="1" t="s">
        <v>106</v>
      </c>
      <c r="C533" s="4">
        <v>65</v>
      </c>
      <c r="D533" s="8">
        <v>1.48</v>
      </c>
      <c r="E533" s="4">
        <v>6</v>
      </c>
      <c r="F533" s="8">
        <v>0.38</v>
      </c>
      <c r="G533" s="4">
        <v>59</v>
      </c>
      <c r="H533" s="8">
        <v>2.12</v>
      </c>
      <c r="I533" s="4">
        <v>0</v>
      </c>
    </row>
    <row r="534" spans="1:9" x14ac:dyDescent="0.2">
      <c r="A534" s="2">
        <v>19</v>
      </c>
      <c r="B534" s="1" t="s">
        <v>88</v>
      </c>
      <c r="C534" s="4">
        <v>55</v>
      </c>
      <c r="D534" s="8">
        <v>1.25</v>
      </c>
      <c r="E534" s="4">
        <v>1</v>
      </c>
      <c r="F534" s="8">
        <v>0.06</v>
      </c>
      <c r="G534" s="4">
        <v>54</v>
      </c>
      <c r="H534" s="8">
        <v>1.94</v>
      </c>
      <c r="I534" s="4">
        <v>0</v>
      </c>
    </row>
    <row r="535" spans="1:9" x14ac:dyDescent="0.2">
      <c r="A535" s="2">
        <v>20</v>
      </c>
      <c r="B535" s="1" t="s">
        <v>105</v>
      </c>
      <c r="C535" s="4">
        <v>54</v>
      </c>
      <c r="D535" s="8">
        <v>1.23</v>
      </c>
      <c r="E535" s="4">
        <v>0</v>
      </c>
      <c r="F535" s="8">
        <v>0</v>
      </c>
      <c r="G535" s="4">
        <v>54</v>
      </c>
      <c r="H535" s="8">
        <v>1.94</v>
      </c>
      <c r="I535" s="4">
        <v>0</v>
      </c>
    </row>
    <row r="536" spans="1:9" x14ac:dyDescent="0.2">
      <c r="A536" s="1"/>
      <c r="C536" s="4"/>
      <c r="D536" s="8"/>
      <c r="E536" s="4"/>
      <c r="F536" s="8"/>
      <c r="G536" s="4"/>
      <c r="H536" s="8"/>
      <c r="I536" s="4"/>
    </row>
    <row r="537" spans="1:9" x14ac:dyDescent="0.2">
      <c r="A537" s="1" t="s">
        <v>24</v>
      </c>
      <c r="C537" s="4"/>
      <c r="D537" s="8"/>
      <c r="E537" s="4"/>
      <c r="F537" s="8"/>
      <c r="G537" s="4"/>
      <c r="H537" s="8"/>
      <c r="I537" s="4"/>
    </row>
    <row r="538" spans="1:9" x14ac:dyDescent="0.2">
      <c r="A538" s="2">
        <v>1</v>
      </c>
      <c r="B538" s="1" t="s">
        <v>98</v>
      </c>
      <c r="C538" s="4">
        <v>265</v>
      </c>
      <c r="D538" s="8">
        <v>11.19</v>
      </c>
      <c r="E538" s="4">
        <v>207</v>
      </c>
      <c r="F538" s="8">
        <v>22.82</v>
      </c>
      <c r="G538" s="4">
        <v>57</v>
      </c>
      <c r="H538" s="8">
        <v>3.92</v>
      </c>
      <c r="I538" s="4">
        <v>1</v>
      </c>
    </row>
    <row r="539" spans="1:9" x14ac:dyDescent="0.2">
      <c r="A539" s="2">
        <v>2</v>
      </c>
      <c r="B539" s="1" t="s">
        <v>94</v>
      </c>
      <c r="C539" s="4">
        <v>213</v>
      </c>
      <c r="D539" s="8">
        <v>8.99</v>
      </c>
      <c r="E539" s="4">
        <v>67</v>
      </c>
      <c r="F539" s="8">
        <v>7.39</v>
      </c>
      <c r="G539" s="4">
        <v>145</v>
      </c>
      <c r="H539" s="8">
        <v>9.9700000000000006</v>
      </c>
      <c r="I539" s="4">
        <v>0</v>
      </c>
    </row>
    <row r="540" spans="1:9" x14ac:dyDescent="0.2">
      <c r="A540" s="2">
        <v>3</v>
      </c>
      <c r="B540" s="1" t="s">
        <v>97</v>
      </c>
      <c r="C540" s="4">
        <v>180</v>
      </c>
      <c r="D540" s="8">
        <v>7.6</v>
      </c>
      <c r="E540" s="4">
        <v>150</v>
      </c>
      <c r="F540" s="8">
        <v>16.54</v>
      </c>
      <c r="G540" s="4">
        <v>30</v>
      </c>
      <c r="H540" s="8">
        <v>2.06</v>
      </c>
      <c r="I540" s="4">
        <v>0</v>
      </c>
    </row>
    <row r="541" spans="1:9" x14ac:dyDescent="0.2">
      <c r="A541" s="2">
        <v>4</v>
      </c>
      <c r="B541" s="1" t="s">
        <v>84</v>
      </c>
      <c r="C541" s="4">
        <v>141</v>
      </c>
      <c r="D541" s="8">
        <v>5.95</v>
      </c>
      <c r="E541" s="4">
        <v>14</v>
      </c>
      <c r="F541" s="8">
        <v>1.54</v>
      </c>
      <c r="G541" s="4">
        <v>127</v>
      </c>
      <c r="H541" s="8">
        <v>8.73</v>
      </c>
      <c r="I541" s="4">
        <v>0</v>
      </c>
    </row>
    <row r="542" spans="1:9" x14ac:dyDescent="0.2">
      <c r="A542" s="2">
        <v>5</v>
      </c>
      <c r="B542" s="1" t="s">
        <v>100</v>
      </c>
      <c r="C542" s="4">
        <v>117</v>
      </c>
      <c r="D542" s="8">
        <v>4.9400000000000004</v>
      </c>
      <c r="E542" s="4">
        <v>64</v>
      </c>
      <c r="F542" s="8">
        <v>7.06</v>
      </c>
      <c r="G542" s="4">
        <v>53</v>
      </c>
      <c r="H542" s="8">
        <v>3.65</v>
      </c>
      <c r="I542" s="4">
        <v>0</v>
      </c>
    </row>
    <row r="543" spans="1:9" x14ac:dyDescent="0.2">
      <c r="A543" s="2">
        <v>6</v>
      </c>
      <c r="B543" s="1" t="s">
        <v>101</v>
      </c>
      <c r="C543" s="4">
        <v>112</v>
      </c>
      <c r="D543" s="8">
        <v>4.7300000000000004</v>
      </c>
      <c r="E543" s="4">
        <v>86</v>
      </c>
      <c r="F543" s="8">
        <v>9.48</v>
      </c>
      <c r="G543" s="4">
        <v>26</v>
      </c>
      <c r="H543" s="8">
        <v>1.79</v>
      </c>
      <c r="I543" s="4">
        <v>0</v>
      </c>
    </row>
    <row r="544" spans="1:9" x14ac:dyDescent="0.2">
      <c r="A544" s="2">
        <v>7</v>
      </c>
      <c r="B544" s="1" t="s">
        <v>85</v>
      </c>
      <c r="C544" s="4">
        <v>111</v>
      </c>
      <c r="D544" s="8">
        <v>4.6900000000000004</v>
      </c>
      <c r="E544" s="4">
        <v>30</v>
      </c>
      <c r="F544" s="8">
        <v>3.31</v>
      </c>
      <c r="G544" s="4">
        <v>81</v>
      </c>
      <c r="H544" s="8">
        <v>5.57</v>
      </c>
      <c r="I544" s="4">
        <v>0</v>
      </c>
    </row>
    <row r="545" spans="1:9" x14ac:dyDescent="0.2">
      <c r="A545" s="2">
        <v>8</v>
      </c>
      <c r="B545" s="1" t="s">
        <v>90</v>
      </c>
      <c r="C545" s="4">
        <v>107</v>
      </c>
      <c r="D545" s="8">
        <v>4.5199999999999996</v>
      </c>
      <c r="E545" s="4">
        <v>51</v>
      </c>
      <c r="F545" s="8">
        <v>5.62</v>
      </c>
      <c r="G545" s="4">
        <v>56</v>
      </c>
      <c r="H545" s="8">
        <v>3.85</v>
      </c>
      <c r="I545" s="4">
        <v>0</v>
      </c>
    </row>
    <row r="546" spans="1:9" x14ac:dyDescent="0.2">
      <c r="A546" s="2">
        <v>9</v>
      </c>
      <c r="B546" s="1" t="s">
        <v>92</v>
      </c>
      <c r="C546" s="4">
        <v>99</v>
      </c>
      <c r="D546" s="8">
        <v>4.18</v>
      </c>
      <c r="E546" s="4">
        <v>48</v>
      </c>
      <c r="F546" s="8">
        <v>5.29</v>
      </c>
      <c r="G546" s="4">
        <v>51</v>
      </c>
      <c r="H546" s="8">
        <v>3.51</v>
      </c>
      <c r="I546" s="4">
        <v>0</v>
      </c>
    </row>
    <row r="547" spans="1:9" x14ac:dyDescent="0.2">
      <c r="A547" s="2">
        <v>10</v>
      </c>
      <c r="B547" s="1" t="s">
        <v>86</v>
      </c>
      <c r="C547" s="4">
        <v>98</v>
      </c>
      <c r="D547" s="8">
        <v>4.1399999999999997</v>
      </c>
      <c r="E547" s="4">
        <v>7</v>
      </c>
      <c r="F547" s="8">
        <v>0.77</v>
      </c>
      <c r="G547" s="4">
        <v>91</v>
      </c>
      <c r="H547" s="8">
        <v>6.26</v>
      </c>
      <c r="I547" s="4">
        <v>0</v>
      </c>
    </row>
    <row r="548" spans="1:9" x14ac:dyDescent="0.2">
      <c r="A548" s="2">
        <v>11</v>
      </c>
      <c r="B548" s="1" t="s">
        <v>95</v>
      </c>
      <c r="C548" s="4">
        <v>76</v>
      </c>
      <c r="D548" s="8">
        <v>3.21</v>
      </c>
      <c r="E548" s="4">
        <v>26</v>
      </c>
      <c r="F548" s="8">
        <v>2.87</v>
      </c>
      <c r="G548" s="4">
        <v>50</v>
      </c>
      <c r="H548" s="8">
        <v>3.44</v>
      </c>
      <c r="I548" s="4">
        <v>0</v>
      </c>
    </row>
    <row r="549" spans="1:9" x14ac:dyDescent="0.2">
      <c r="A549" s="2">
        <v>12</v>
      </c>
      <c r="B549" s="1" t="s">
        <v>89</v>
      </c>
      <c r="C549" s="4">
        <v>66</v>
      </c>
      <c r="D549" s="8">
        <v>2.79</v>
      </c>
      <c r="E549" s="4">
        <v>16</v>
      </c>
      <c r="F549" s="8">
        <v>1.76</v>
      </c>
      <c r="G549" s="4">
        <v>50</v>
      </c>
      <c r="H549" s="8">
        <v>3.44</v>
      </c>
      <c r="I549" s="4">
        <v>0</v>
      </c>
    </row>
    <row r="550" spans="1:9" x14ac:dyDescent="0.2">
      <c r="A550" s="2">
        <v>12</v>
      </c>
      <c r="B550" s="1" t="s">
        <v>93</v>
      </c>
      <c r="C550" s="4">
        <v>66</v>
      </c>
      <c r="D550" s="8">
        <v>2.79</v>
      </c>
      <c r="E550" s="4">
        <v>1</v>
      </c>
      <c r="F550" s="8">
        <v>0.11</v>
      </c>
      <c r="G550" s="4">
        <v>65</v>
      </c>
      <c r="H550" s="8">
        <v>4.47</v>
      </c>
      <c r="I550" s="4">
        <v>0</v>
      </c>
    </row>
    <row r="551" spans="1:9" x14ac:dyDescent="0.2">
      <c r="A551" s="2">
        <v>14</v>
      </c>
      <c r="B551" s="1" t="s">
        <v>96</v>
      </c>
      <c r="C551" s="4">
        <v>58</v>
      </c>
      <c r="D551" s="8">
        <v>2.4500000000000002</v>
      </c>
      <c r="E551" s="4">
        <v>20</v>
      </c>
      <c r="F551" s="8">
        <v>2.21</v>
      </c>
      <c r="G551" s="4">
        <v>36</v>
      </c>
      <c r="H551" s="8">
        <v>2.48</v>
      </c>
      <c r="I551" s="4">
        <v>1</v>
      </c>
    </row>
    <row r="552" spans="1:9" x14ac:dyDescent="0.2">
      <c r="A552" s="2">
        <v>15</v>
      </c>
      <c r="B552" s="1" t="s">
        <v>91</v>
      </c>
      <c r="C552" s="4">
        <v>52</v>
      </c>
      <c r="D552" s="8">
        <v>2.2000000000000002</v>
      </c>
      <c r="E552" s="4">
        <v>17</v>
      </c>
      <c r="F552" s="8">
        <v>1.87</v>
      </c>
      <c r="G552" s="4">
        <v>35</v>
      </c>
      <c r="H552" s="8">
        <v>2.41</v>
      </c>
      <c r="I552" s="4">
        <v>0</v>
      </c>
    </row>
    <row r="553" spans="1:9" x14ac:dyDescent="0.2">
      <c r="A553" s="2">
        <v>16</v>
      </c>
      <c r="B553" s="1" t="s">
        <v>102</v>
      </c>
      <c r="C553" s="4">
        <v>41</v>
      </c>
      <c r="D553" s="8">
        <v>1.73</v>
      </c>
      <c r="E553" s="4">
        <v>1</v>
      </c>
      <c r="F553" s="8">
        <v>0.11</v>
      </c>
      <c r="G553" s="4">
        <v>40</v>
      </c>
      <c r="H553" s="8">
        <v>2.75</v>
      </c>
      <c r="I553" s="4">
        <v>0</v>
      </c>
    </row>
    <row r="554" spans="1:9" x14ac:dyDescent="0.2">
      <c r="A554" s="2">
        <v>17</v>
      </c>
      <c r="B554" s="1" t="s">
        <v>107</v>
      </c>
      <c r="C554" s="4">
        <v>35</v>
      </c>
      <c r="D554" s="8">
        <v>1.48</v>
      </c>
      <c r="E554" s="4">
        <v>6</v>
      </c>
      <c r="F554" s="8">
        <v>0.66</v>
      </c>
      <c r="G554" s="4">
        <v>29</v>
      </c>
      <c r="H554" s="8">
        <v>1.99</v>
      </c>
      <c r="I554" s="4">
        <v>0</v>
      </c>
    </row>
    <row r="555" spans="1:9" x14ac:dyDescent="0.2">
      <c r="A555" s="2">
        <v>17</v>
      </c>
      <c r="B555" s="1" t="s">
        <v>105</v>
      </c>
      <c r="C555" s="4">
        <v>35</v>
      </c>
      <c r="D555" s="8">
        <v>1.48</v>
      </c>
      <c r="E555" s="4">
        <v>1</v>
      </c>
      <c r="F555" s="8">
        <v>0.11</v>
      </c>
      <c r="G555" s="4">
        <v>33</v>
      </c>
      <c r="H555" s="8">
        <v>2.27</v>
      </c>
      <c r="I555" s="4">
        <v>1</v>
      </c>
    </row>
    <row r="556" spans="1:9" x14ac:dyDescent="0.2">
      <c r="A556" s="2">
        <v>19</v>
      </c>
      <c r="B556" s="1" t="s">
        <v>104</v>
      </c>
      <c r="C556" s="4">
        <v>34</v>
      </c>
      <c r="D556" s="8">
        <v>1.44</v>
      </c>
      <c r="E556" s="4">
        <v>3</v>
      </c>
      <c r="F556" s="8">
        <v>0.33</v>
      </c>
      <c r="G556" s="4">
        <v>31</v>
      </c>
      <c r="H556" s="8">
        <v>2.13</v>
      </c>
      <c r="I556" s="4">
        <v>0</v>
      </c>
    </row>
    <row r="557" spans="1:9" x14ac:dyDescent="0.2">
      <c r="A557" s="2">
        <v>19</v>
      </c>
      <c r="B557" s="1" t="s">
        <v>99</v>
      </c>
      <c r="C557" s="4">
        <v>34</v>
      </c>
      <c r="D557" s="8">
        <v>1.44</v>
      </c>
      <c r="E557" s="4">
        <v>12</v>
      </c>
      <c r="F557" s="8">
        <v>1.32</v>
      </c>
      <c r="G557" s="4">
        <v>22</v>
      </c>
      <c r="H557" s="8">
        <v>1.51</v>
      </c>
      <c r="I557" s="4">
        <v>0</v>
      </c>
    </row>
    <row r="558" spans="1:9" x14ac:dyDescent="0.2">
      <c r="A558" s="1"/>
      <c r="C558" s="4"/>
      <c r="D558" s="8"/>
      <c r="E558" s="4"/>
      <c r="F558" s="8"/>
      <c r="G558" s="4"/>
      <c r="H558" s="8"/>
      <c r="I558" s="4"/>
    </row>
    <row r="559" spans="1:9" x14ac:dyDescent="0.2">
      <c r="A559" s="1" t="s">
        <v>25</v>
      </c>
      <c r="C559" s="4"/>
      <c r="D559" s="8"/>
      <c r="E559" s="4"/>
      <c r="F559" s="8"/>
      <c r="G559" s="4"/>
      <c r="H559" s="8"/>
      <c r="I559" s="4"/>
    </row>
    <row r="560" spans="1:9" x14ac:dyDescent="0.2">
      <c r="A560" s="2">
        <v>1</v>
      </c>
      <c r="B560" s="1" t="s">
        <v>98</v>
      </c>
      <c r="C560" s="4">
        <v>327</v>
      </c>
      <c r="D560" s="8">
        <v>12.9</v>
      </c>
      <c r="E560" s="4">
        <v>253</v>
      </c>
      <c r="F560" s="8">
        <v>24.07</v>
      </c>
      <c r="G560" s="4">
        <v>74</v>
      </c>
      <c r="H560" s="8">
        <v>5</v>
      </c>
      <c r="I560" s="4">
        <v>0</v>
      </c>
    </row>
    <row r="561" spans="1:9" x14ac:dyDescent="0.2">
      <c r="A561" s="2">
        <v>2</v>
      </c>
      <c r="B561" s="1" t="s">
        <v>97</v>
      </c>
      <c r="C561" s="4">
        <v>308</v>
      </c>
      <c r="D561" s="8">
        <v>12.15</v>
      </c>
      <c r="E561" s="4">
        <v>245</v>
      </c>
      <c r="F561" s="8">
        <v>23.31</v>
      </c>
      <c r="G561" s="4">
        <v>63</v>
      </c>
      <c r="H561" s="8">
        <v>4.26</v>
      </c>
      <c r="I561" s="4">
        <v>0</v>
      </c>
    </row>
    <row r="562" spans="1:9" x14ac:dyDescent="0.2">
      <c r="A562" s="2">
        <v>3</v>
      </c>
      <c r="B562" s="1" t="s">
        <v>94</v>
      </c>
      <c r="C562" s="4">
        <v>154</v>
      </c>
      <c r="D562" s="8">
        <v>6.07</v>
      </c>
      <c r="E562" s="4">
        <v>24</v>
      </c>
      <c r="F562" s="8">
        <v>2.2799999999999998</v>
      </c>
      <c r="G562" s="4">
        <v>130</v>
      </c>
      <c r="H562" s="8">
        <v>8.7799999999999994</v>
      </c>
      <c r="I562" s="4">
        <v>0</v>
      </c>
    </row>
    <row r="563" spans="1:9" x14ac:dyDescent="0.2">
      <c r="A563" s="2">
        <v>4</v>
      </c>
      <c r="B563" s="1" t="s">
        <v>100</v>
      </c>
      <c r="C563" s="4">
        <v>144</v>
      </c>
      <c r="D563" s="8">
        <v>5.68</v>
      </c>
      <c r="E563" s="4">
        <v>103</v>
      </c>
      <c r="F563" s="8">
        <v>9.8000000000000007</v>
      </c>
      <c r="G563" s="4">
        <v>41</v>
      </c>
      <c r="H563" s="8">
        <v>2.77</v>
      </c>
      <c r="I563" s="4">
        <v>0</v>
      </c>
    </row>
    <row r="564" spans="1:9" x14ac:dyDescent="0.2">
      <c r="A564" s="2">
        <v>5</v>
      </c>
      <c r="B564" s="1" t="s">
        <v>85</v>
      </c>
      <c r="C564" s="4">
        <v>138</v>
      </c>
      <c r="D564" s="8">
        <v>5.44</v>
      </c>
      <c r="E564" s="4">
        <v>18</v>
      </c>
      <c r="F564" s="8">
        <v>1.71</v>
      </c>
      <c r="G564" s="4">
        <v>120</v>
      </c>
      <c r="H564" s="8">
        <v>8.11</v>
      </c>
      <c r="I564" s="4">
        <v>0</v>
      </c>
    </row>
    <row r="565" spans="1:9" x14ac:dyDescent="0.2">
      <c r="A565" s="2">
        <v>6</v>
      </c>
      <c r="B565" s="1" t="s">
        <v>92</v>
      </c>
      <c r="C565" s="4">
        <v>128</v>
      </c>
      <c r="D565" s="8">
        <v>5.05</v>
      </c>
      <c r="E565" s="4">
        <v>53</v>
      </c>
      <c r="F565" s="8">
        <v>5.04</v>
      </c>
      <c r="G565" s="4">
        <v>75</v>
      </c>
      <c r="H565" s="8">
        <v>5.07</v>
      </c>
      <c r="I565" s="4">
        <v>0</v>
      </c>
    </row>
    <row r="566" spans="1:9" x14ac:dyDescent="0.2">
      <c r="A566" s="2">
        <v>7</v>
      </c>
      <c r="B566" s="1" t="s">
        <v>101</v>
      </c>
      <c r="C566" s="4">
        <v>126</v>
      </c>
      <c r="D566" s="8">
        <v>4.97</v>
      </c>
      <c r="E566" s="4">
        <v>101</v>
      </c>
      <c r="F566" s="8">
        <v>9.61</v>
      </c>
      <c r="G566" s="4">
        <v>25</v>
      </c>
      <c r="H566" s="8">
        <v>1.69</v>
      </c>
      <c r="I566" s="4">
        <v>0</v>
      </c>
    </row>
    <row r="567" spans="1:9" x14ac:dyDescent="0.2">
      <c r="A567" s="2">
        <v>8</v>
      </c>
      <c r="B567" s="1" t="s">
        <v>84</v>
      </c>
      <c r="C567" s="4">
        <v>118</v>
      </c>
      <c r="D567" s="8">
        <v>4.6500000000000004</v>
      </c>
      <c r="E567" s="4">
        <v>13</v>
      </c>
      <c r="F567" s="8">
        <v>1.24</v>
      </c>
      <c r="G567" s="4">
        <v>105</v>
      </c>
      <c r="H567" s="8">
        <v>7.09</v>
      </c>
      <c r="I567" s="4">
        <v>0</v>
      </c>
    </row>
    <row r="568" spans="1:9" x14ac:dyDescent="0.2">
      <c r="A568" s="2">
        <v>9</v>
      </c>
      <c r="B568" s="1" t="s">
        <v>90</v>
      </c>
      <c r="C568" s="4">
        <v>95</v>
      </c>
      <c r="D568" s="8">
        <v>3.75</v>
      </c>
      <c r="E568" s="4">
        <v>52</v>
      </c>
      <c r="F568" s="8">
        <v>4.95</v>
      </c>
      <c r="G568" s="4">
        <v>43</v>
      </c>
      <c r="H568" s="8">
        <v>2.91</v>
      </c>
      <c r="I568" s="4">
        <v>0</v>
      </c>
    </row>
    <row r="569" spans="1:9" x14ac:dyDescent="0.2">
      <c r="A569" s="2">
        <v>10</v>
      </c>
      <c r="B569" s="1" t="s">
        <v>86</v>
      </c>
      <c r="C569" s="4">
        <v>91</v>
      </c>
      <c r="D569" s="8">
        <v>3.59</v>
      </c>
      <c r="E569" s="4">
        <v>5</v>
      </c>
      <c r="F569" s="8">
        <v>0.48</v>
      </c>
      <c r="G569" s="4">
        <v>86</v>
      </c>
      <c r="H569" s="8">
        <v>5.81</v>
      </c>
      <c r="I569" s="4">
        <v>0</v>
      </c>
    </row>
    <row r="570" spans="1:9" x14ac:dyDescent="0.2">
      <c r="A570" s="2">
        <v>11</v>
      </c>
      <c r="B570" s="1" t="s">
        <v>95</v>
      </c>
      <c r="C570" s="4">
        <v>71</v>
      </c>
      <c r="D570" s="8">
        <v>2.8</v>
      </c>
      <c r="E570" s="4">
        <v>30</v>
      </c>
      <c r="F570" s="8">
        <v>2.85</v>
      </c>
      <c r="G570" s="4">
        <v>41</v>
      </c>
      <c r="H570" s="8">
        <v>2.77</v>
      </c>
      <c r="I570" s="4">
        <v>0</v>
      </c>
    </row>
    <row r="571" spans="1:9" x14ac:dyDescent="0.2">
      <c r="A571" s="2">
        <v>12</v>
      </c>
      <c r="B571" s="1" t="s">
        <v>89</v>
      </c>
      <c r="C571" s="4">
        <v>65</v>
      </c>
      <c r="D571" s="8">
        <v>2.56</v>
      </c>
      <c r="E571" s="4">
        <v>26</v>
      </c>
      <c r="F571" s="8">
        <v>2.4700000000000002</v>
      </c>
      <c r="G571" s="4">
        <v>39</v>
      </c>
      <c r="H571" s="8">
        <v>2.64</v>
      </c>
      <c r="I571" s="4">
        <v>0</v>
      </c>
    </row>
    <row r="572" spans="1:9" x14ac:dyDescent="0.2">
      <c r="A572" s="2">
        <v>13</v>
      </c>
      <c r="B572" s="1" t="s">
        <v>91</v>
      </c>
      <c r="C572" s="4">
        <v>63</v>
      </c>
      <c r="D572" s="8">
        <v>2.4900000000000002</v>
      </c>
      <c r="E572" s="4">
        <v>22</v>
      </c>
      <c r="F572" s="8">
        <v>2.09</v>
      </c>
      <c r="G572" s="4">
        <v>41</v>
      </c>
      <c r="H572" s="8">
        <v>2.77</v>
      </c>
      <c r="I572" s="4">
        <v>0</v>
      </c>
    </row>
    <row r="573" spans="1:9" x14ac:dyDescent="0.2">
      <c r="A573" s="2">
        <v>14</v>
      </c>
      <c r="B573" s="1" t="s">
        <v>93</v>
      </c>
      <c r="C573" s="4">
        <v>49</v>
      </c>
      <c r="D573" s="8">
        <v>1.93</v>
      </c>
      <c r="E573" s="4">
        <v>1</v>
      </c>
      <c r="F573" s="8">
        <v>0.1</v>
      </c>
      <c r="G573" s="4">
        <v>48</v>
      </c>
      <c r="H573" s="8">
        <v>3.24</v>
      </c>
      <c r="I573" s="4">
        <v>0</v>
      </c>
    </row>
    <row r="574" spans="1:9" x14ac:dyDescent="0.2">
      <c r="A574" s="2">
        <v>15</v>
      </c>
      <c r="B574" s="1" t="s">
        <v>96</v>
      </c>
      <c r="C574" s="4">
        <v>48</v>
      </c>
      <c r="D574" s="8">
        <v>1.89</v>
      </c>
      <c r="E574" s="4">
        <v>16</v>
      </c>
      <c r="F574" s="8">
        <v>1.52</v>
      </c>
      <c r="G574" s="4">
        <v>32</v>
      </c>
      <c r="H574" s="8">
        <v>2.16</v>
      </c>
      <c r="I574" s="4">
        <v>0</v>
      </c>
    </row>
    <row r="575" spans="1:9" x14ac:dyDescent="0.2">
      <c r="A575" s="2">
        <v>16</v>
      </c>
      <c r="B575" s="1" t="s">
        <v>99</v>
      </c>
      <c r="C575" s="4">
        <v>41</v>
      </c>
      <c r="D575" s="8">
        <v>1.62</v>
      </c>
      <c r="E575" s="4">
        <v>15</v>
      </c>
      <c r="F575" s="8">
        <v>1.43</v>
      </c>
      <c r="G575" s="4">
        <v>26</v>
      </c>
      <c r="H575" s="8">
        <v>1.76</v>
      </c>
      <c r="I575" s="4">
        <v>0</v>
      </c>
    </row>
    <row r="576" spans="1:9" x14ac:dyDescent="0.2">
      <c r="A576" s="2">
        <v>17</v>
      </c>
      <c r="B576" s="1" t="s">
        <v>106</v>
      </c>
      <c r="C576" s="4">
        <v>40</v>
      </c>
      <c r="D576" s="8">
        <v>1.58</v>
      </c>
      <c r="E576" s="4">
        <v>9</v>
      </c>
      <c r="F576" s="8">
        <v>0.86</v>
      </c>
      <c r="G576" s="4">
        <v>31</v>
      </c>
      <c r="H576" s="8">
        <v>2.09</v>
      </c>
      <c r="I576" s="4">
        <v>0</v>
      </c>
    </row>
    <row r="577" spans="1:9" x14ac:dyDescent="0.2">
      <c r="A577" s="2">
        <v>18</v>
      </c>
      <c r="B577" s="1" t="s">
        <v>103</v>
      </c>
      <c r="C577" s="4">
        <v>39</v>
      </c>
      <c r="D577" s="8">
        <v>1.54</v>
      </c>
      <c r="E577" s="4">
        <v>16</v>
      </c>
      <c r="F577" s="8">
        <v>1.52</v>
      </c>
      <c r="G577" s="4">
        <v>23</v>
      </c>
      <c r="H577" s="8">
        <v>1.55</v>
      </c>
      <c r="I577" s="4">
        <v>0</v>
      </c>
    </row>
    <row r="578" spans="1:9" x14ac:dyDescent="0.2">
      <c r="A578" s="2">
        <v>19</v>
      </c>
      <c r="B578" s="1" t="s">
        <v>88</v>
      </c>
      <c r="C578" s="4">
        <v>37</v>
      </c>
      <c r="D578" s="8">
        <v>1.46</v>
      </c>
      <c r="E578" s="4">
        <v>2</v>
      </c>
      <c r="F578" s="8">
        <v>0.19</v>
      </c>
      <c r="G578" s="4">
        <v>35</v>
      </c>
      <c r="H578" s="8">
        <v>2.36</v>
      </c>
      <c r="I578" s="4">
        <v>0</v>
      </c>
    </row>
    <row r="579" spans="1:9" x14ac:dyDescent="0.2">
      <c r="A579" s="2">
        <v>20</v>
      </c>
      <c r="B579" s="1" t="s">
        <v>102</v>
      </c>
      <c r="C579" s="4">
        <v>32</v>
      </c>
      <c r="D579" s="8">
        <v>1.26</v>
      </c>
      <c r="E579" s="4">
        <v>0</v>
      </c>
      <c r="F579" s="8">
        <v>0</v>
      </c>
      <c r="G579" s="4">
        <v>31</v>
      </c>
      <c r="H579" s="8">
        <v>2.09</v>
      </c>
      <c r="I579" s="4">
        <v>0</v>
      </c>
    </row>
    <row r="580" spans="1:9" x14ac:dyDescent="0.2">
      <c r="A580" s="1"/>
      <c r="C580" s="4"/>
      <c r="D580" s="8"/>
      <c r="E580" s="4"/>
      <c r="F580" s="8"/>
      <c r="G580" s="4"/>
      <c r="H580" s="8"/>
      <c r="I580" s="4"/>
    </row>
    <row r="581" spans="1:9" x14ac:dyDescent="0.2">
      <c r="A581" s="1" t="s">
        <v>26</v>
      </c>
      <c r="C581" s="4"/>
      <c r="D581" s="8"/>
      <c r="E581" s="4"/>
      <c r="F581" s="8"/>
      <c r="G581" s="4"/>
      <c r="H581" s="8"/>
      <c r="I581" s="4"/>
    </row>
    <row r="582" spans="1:9" x14ac:dyDescent="0.2">
      <c r="A582" s="2">
        <v>1</v>
      </c>
      <c r="B582" s="1" t="s">
        <v>98</v>
      </c>
      <c r="C582" s="4">
        <v>190</v>
      </c>
      <c r="D582" s="8">
        <v>11.32</v>
      </c>
      <c r="E582" s="4">
        <v>160</v>
      </c>
      <c r="F582" s="8">
        <v>21.14</v>
      </c>
      <c r="G582" s="4">
        <v>30</v>
      </c>
      <c r="H582" s="8">
        <v>3.28</v>
      </c>
      <c r="I582" s="4">
        <v>0</v>
      </c>
    </row>
    <row r="583" spans="1:9" x14ac:dyDescent="0.2">
      <c r="A583" s="2">
        <v>2</v>
      </c>
      <c r="B583" s="1" t="s">
        <v>94</v>
      </c>
      <c r="C583" s="4">
        <v>141</v>
      </c>
      <c r="D583" s="8">
        <v>8.4</v>
      </c>
      <c r="E583" s="4">
        <v>24</v>
      </c>
      <c r="F583" s="8">
        <v>3.17</v>
      </c>
      <c r="G583" s="4">
        <v>117</v>
      </c>
      <c r="H583" s="8">
        <v>12.77</v>
      </c>
      <c r="I583" s="4">
        <v>0</v>
      </c>
    </row>
    <row r="584" spans="1:9" x14ac:dyDescent="0.2">
      <c r="A584" s="2">
        <v>3</v>
      </c>
      <c r="B584" s="1" t="s">
        <v>97</v>
      </c>
      <c r="C584" s="4">
        <v>139</v>
      </c>
      <c r="D584" s="8">
        <v>8.2799999999999994</v>
      </c>
      <c r="E584" s="4">
        <v>116</v>
      </c>
      <c r="F584" s="8">
        <v>15.32</v>
      </c>
      <c r="G584" s="4">
        <v>23</v>
      </c>
      <c r="H584" s="8">
        <v>2.5099999999999998</v>
      </c>
      <c r="I584" s="4">
        <v>0</v>
      </c>
    </row>
    <row r="585" spans="1:9" x14ac:dyDescent="0.2">
      <c r="A585" s="2">
        <v>4</v>
      </c>
      <c r="B585" s="1" t="s">
        <v>100</v>
      </c>
      <c r="C585" s="4">
        <v>107</v>
      </c>
      <c r="D585" s="8">
        <v>6.38</v>
      </c>
      <c r="E585" s="4">
        <v>75</v>
      </c>
      <c r="F585" s="8">
        <v>9.91</v>
      </c>
      <c r="G585" s="4">
        <v>32</v>
      </c>
      <c r="H585" s="8">
        <v>3.49</v>
      </c>
      <c r="I585" s="4">
        <v>0</v>
      </c>
    </row>
    <row r="586" spans="1:9" x14ac:dyDescent="0.2">
      <c r="A586" s="2">
        <v>5</v>
      </c>
      <c r="B586" s="1" t="s">
        <v>101</v>
      </c>
      <c r="C586" s="4">
        <v>102</v>
      </c>
      <c r="D586" s="8">
        <v>6.08</v>
      </c>
      <c r="E586" s="4">
        <v>84</v>
      </c>
      <c r="F586" s="8">
        <v>11.1</v>
      </c>
      <c r="G586" s="4">
        <v>18</v>
      </c>
      <c r="H586" s="8">
        <v>1.97</v>
      </c>
      <c r="I586" s="4">
        <v>0</v>
      </c>
    </row>
    <row r="587" spans="1:9" x14ac:dyDescent="0.2">
      <c r="A587" s="2">
        <v>6</v>
      </c>
      <c r="B587" s="1" t="s">
        <v>84</v>
      </c>
      <c r="C587" s="4">
        <v>99</v>
      </c>
      <c r="D587" s="8">
        <v>5.9</v>
      </c>
      <c r="E587" s="4">
        <v>14</v>
      </c>
      <c r="F587" s="8">
        <v>1.85</v>
      </c>
      <c r="G587" s="4">
        <v>85</v>
      </c>
      <c r="H587" s="8">
        <v>9.2799999999999994</v>
      </c>
      <c r="I587" s="4">
        <v>0</v>
      </c>
    </row>
    <row r="588" spans="1:9" x14ac:dyDescent="0.2">
      <c r="A588" s="2">
        <v>7</v>
      </c>
      <c r="B588" s="1" t="s">
        <v>92</v>
      </c>
      <c r="C588" s="4">
        <v>97</v>
      </c>
      <c r="D588" s="8">
        <v>5.78</v>
      </c>
      <c r="E588" s="4">
        <v>47</v>
      </c>
      <c r="F588" s="8">
        <v>6.21</v>
      </c>
      <c r="G588" s="4">
        <v>50</v>
      </c>
      <c r="H588" s="8">
        <v>5.46</v>
      </c>
      <c r="I588" s="4">
        <v>0</v>
      </c>
    </row>
    <row r="589" spans="1:9" x14ac:dyDescent="0.2">
      <c r="A589" s="2">
        <v>8</v>
      </c>
      <c r="B589" s="1" t="s">
        <v>90</v>
      </c>
      <c r="C589" s="4">
        <v>78</v>
      </c>
      <c r="D589" s="8">
        <v>4.6500000000000004</v>
      </c>
      <c r="E589" s="4">
        <v>47</v>
      </c>
      <c r="F589" s="8">
        <v>6.21</v>
      </c>
      <c r="G589" s="4">
        <v>30</v>
      </c>
      <c r="H589" s="8">
        <v>3.28</v>
      </c>
      <c r="I589" s="4">
        <v>1</v>
      </c>
    </row>
    <row r="590" spans="1:9" x14ac:dyDescent="0.2">
      <c r="A590" s="2">
        <v>9</v>
      </c>
      <c r="B590" s="1" t="s">
        <v>95</v>
      </c>
      <c r="C590" s="4">
        <v>70</v>
      </c>
      <c r="D590" s="8">
        <v>4.17</v>
      </c>
      <c r="E590" s="4">
        <v>31</v>
      </c>
      <c r="F590" s="8">
        <v>4.0999999999999996</v>
      </c>
      <c r="G590" s="4">
        <v>39</v>
      </c>
      <c r="H590" s="8">
        <v>4.26</v>
      </c>
      <c r="I590" s="4">
        <v>0</v>
      </c>
    </row>
    <row r="591" spans="1:9" x14ac:dyDescent="0.2">
      <c r="A591" s="2">
        <v>10</v>
      </c>
      <c r="B591" s="1" t="s">
        <v>86</v>
      </c>
      <c r="C591" s="4">
        <v>69</v>
      </c>
      <c r="D591" s="8">
        <v>4.1100000000000003</v>
      </c>
      <c r="E591" s="4">
        <v>8</v>
      </c>
      <c r="F591" s="8">
        <v>1.06</v>
      </c>
      <c r="G591" s="4">
        <v>61</v>
      </c>
      <c r="H591" s="8">
        <v>6.66</v>
      </c>
      <c r="I591" s="4">
        <v>0</v>
      </c>
    </row>
    <row r="592" spans="1:9" x14ac:dyDescent="0.2">
      <c r="A592" s="2">
        <v>11</v>
      </c>
      <c r="B592" s="1" t="s">
        <v>85</v>
      </c>
      <c r="C592" s="4">
        <v>68</v>
      </c>
      <c r="D592" s="8">
        <v>4.05</v>
      </c>
      <c r="E592" s="4">
        <v>23</v>
      </c>
      <c r="F592" s="8">
        <v>3.04</v>
      </c>
      <c r="G592" s="4">
        <v>45</v>
      </c>
      <c r="H592" s="8">
        <v>4.91</v>
      </c>
      <c r="I592" s="4">
        <v>0</v>
      </c>
    </row>
    <row r="593" spans="1:9" x14ac:dyDescent="0.2">
      <c r="A593" s="2">
        <v>12</v>
      </c>
      <c r="B593" s="1" t="s">
        <v>91</v>
      </c>
      <c r="C593" s="4">
        <v>48</v>
      </c>
      <c r="D593" s="8">
        <v>2.86</v>
      </c>
      <c r="E593" s="4">
        <v>25</v>
      </c>
      <c r="F593" s="8">
        <v>3.3</v>
      </c>
      <c r="G593" s="4">
        <v>23</v>
      </c>
      <c r="H593" s="8">
        <v>2.5099999999999998</v>
      </c>
      <c r="I593" s="4">
        <v>0</v>
      </c>
    </row>
    <row r="594" spans="1:9" x14ac:dyDescent="0.2">
      <c r="A594" s="2">
        <v>13</v>
      </c>
      <c r="B594" s="1" t="s">
        <v>96</v>
      </c>
      <c r="C594" s="4">
        <v>40</v>
      </c>
      <c r="D594" s="8">
        <v>2.38</v>
      </c>
      <c r="E594" s="4">
        <v>14</v>
      </c>
      <c r="F594" s="8">
        <v>1.85</v>
      </c>
      <c r="G594" s="4">
        <v>26</v>
      </c>
      <c r="H594" s="8">
        <v>2.84</v>
      </c>
      <c r="I594" s="4">
        <v>0</v>
      </c>
    </row>
    <row r="595" spans="1:9" x14ac:dyDescent="0.2">
      <c r="A595" s="2">
        <v>14</v>
      </c>
      <c r="B595" s="1" t="s">
        <v>108</v>
      </c>
      <c r="C595" s="4">
        <v>31</v>
      </c>
      <c r="D595" s="8">
        <v>1.85</v>
      </c>
      <c r="E595" s="4">
        <v>0</v>
      </c>
      <c r="F595" s="8">
        <v>0</v>
      </c>
      <c r="G595" s="4">
        <v>31</v>
      </c>
      <c r="H595" s="8">
        <v>3.38</v>
      </c>
      <c r="I595" s="4">
        <v>0</v>
      </c>
    </row>
    <row r="596" spans="1:9" x14ac:dyDescent="0.2">
      <c r="A596" s="2">
        <v>15</v>
      </c>
      <c r="B596" s="1" t="s">
        <v>89</v>
      </c>
      <c r="C596" s="4">
        <v>29</v>
      </c>
      <c r="D596" s="8">
        <v>1.73</v>
      </c>
      <c r="E596" s="4">
        <v>9</v>
      </c>
      <c r="F596" s="8">
        <v>1.19</v>
      </c>
      <c r="G596" s="4">
        <v>19</v>
      </c>
      <c r="H596" s="8">
        <v>2.0699999999999998</v>
      </c>
      <c r="I596" s="4">
        <v>1</v>
      </c>
    </row>
    <row r="597" spans="1:9" x14ac:dyDescent="0.2">
      <c r="A597" s="2">
        <v>15</v>
      </c>
      <c r="B597" s="1" t="s">
        <v>105</v>
      </c>
      <c r="C597" s="4">
        <v>29</v>
      </c>
      <c r="D597" s="8">
        <v>1.73</v>
      </c>
      <c r="E597" s="4">
        <v>4</v>
      </c>
      <c r="F597" s="8">
        <v>0.53</v>
      </c>
      <c r="G597" s="4">
        <v>25</v>
      </c>
      <c r="H597" s="8">
        <v>2.73</v>
      </c>
      <c r="I597" s="4">
        <v>0</v>
      </c>
    </row>
    <row r="598" spans="1:9" x14ac:dyDescent="0.2">
      <c r="A598" s="2">
        <v>17</v>
      </c>
      <c r="B598" s="1" t="s">
        <v>99</v>
      </c>
      <c r="C598" s="4">
        <v>28</v>
      </c>
      <c r="D598" s="8">
        <v>1.67</v>
      </c>
      <c r="E598" s="4">
        <v>16</v>
      </c>
      <c r="F598" s="8">
        <v>2.11</v>
      </c>
      <c r="G598" s="4">
        <v>12</v>
      </c>
      <c r="H598" s="8">
        <v>1.31</v>
      </c>
      <c r="I598" s="4">
        <v>0</v>
      </c>
    </row>
    <row r="599" spans="1:9" x14ac:dyDescent="0.2">
      <c r="A599" s="2">
        <v>17</v>
      </c>
      <c r="B599" s="1" t="s">
        <v>102</v>
      </c>
      <c r="C599" s="4">
        <v>28</v>
      </c>
      <c r="D599" s="8">
        <v>1.67</v>
      </c>
      <c r="E599" s="4">
        <v>1</v>
      </c>
      <c r="F599" s="8">
        <v>0.13</v>
      </c>
      <c r="G599" s="4">
        <v>24</v>
      </c>
      <c r="H599" s="8">
        <v>2.62</v>
      </c>
      <c r="I599" s="4">
        <v>1</v>
      </c>
    </row>
    <row r="600" spans="1:9" x14ac:dyDescent="0.2">
      <c r="A600" s="2">
        <v>19</v>
      </c>
      <c r="B600" s="1" t="s">
        <v>104</v>
      </c>
      <c r="C600" s="4">
        <v>24</v>
      </c>
      <c r="D600" s="8">
        <v>1.43</v>
      </c>
      <c r="E600" s="4">
        <v>3</v>
      </c>
      <c r="F600" s="8">
        <v>0.4</v>
      </c>
      <c r="G600" s="4">
        <v>21</v>
      </c>
      <c r="H600" s="8">
        <v>2.29</v>
      </c>
      <c r="I600" s="4">
        <v>0</v>
      </c>
    </row>
    <row r="601" spans="1:9" x14ac:dyDescent="0.2">
      <c r="A601" s="2">
        <v>19</v>
      </c>
      <c r="B601" s="1" t="s">
        <v>93</v>
      </c>
      <c r="C601" s="4">
        <v>24</v>
      </c>
      <c r="D601" s="8">
        <v>1.43</v>
      </c>
      <c r="E601" s="4">
        <v>0</v>
      </c>
      <c r="F601" s="8">
        <v>0</v>
      </c>
      <c r="G601" s="4">
        <v>24</v>
      </c>
      <c r="H601" s="8">
        <v>2.62</v>
      </c>
      <c r="I601" s="4">
        <v>0</v>
      </c>
    </row>
    <row r="602" spans="1:9" x14ac:dyDescent="0.2">
      <c r="A602" s="1"/>
      <c r="C602" s="4"/>
      <c r="D602" s="8"/>
      <c r="E602" s="4"/>
      <c r="F602" s="8"/>
      <c r="G602" s="4"/>
      <c r="H602" s="8"/>
      <c r="I602" s="4"/>
    </row>
    <row r="603" spans="1:9" x14ac:dyDescent="0.2">
      <c r="A603" s="1" t="s">
        <v>27</v>
      </c>
      <c r="C603" s="4"/>
      <c r="D603" s="8"/>
      <c r="E603" s="4"/>
      <c r="F603" s="8"/>
      <c r="G603" s="4"/>
      <c r="H603" s="8"/>
      <c r="I603" s="4"/>
    </row>
    <row r="604" spans="1:9" x14ac:dyDescent="0.2">
      <c r="A604" s="2">
        <v>1</v>
      </c>
      <c r="B604" s="1" t="s">
        <v>97</v>
      </c>
      <c r="C604" s="4">
        <v>174</v>
      </c>
      <c r="D604" s="8">
        <v>15.32</v>
      </c>
      <c r="E604" s="4">
        <v>156</v>
      </c>
      <c r="F604" s="8">
        <v>22.32</v>
      </c>
      <c r="G604" s="4">
        <v>18</v>
      </c>
      <c r="H604" s="8">
        <v>4.29</v>
      </c>
      <c r="I604" s="4">
        <v>0</v>
      </c>
    </row>
    <row r="605" spans="1:9" x14ac:dyDescent="0.2">
      <c r="A605" s="2">
        <v>2</v>
      </c>
      <c r="B605" s="1" t="s">
        <v>98</v>
      </c>
      <c r="C605" s="4">
        <v>108</v>
      </c>
      <c r="D605" s="8">
        <v>9.51</v>
      </c>
      <c r="E605" s="4">
        <v>95</v>
      </c>
      <c r="F605" s="8">
        <v>13.59</v>
      </c>
      <c r="G605" s="4">
        <v>13</v>
      </c>
      <c r="H605" s="8">
        <v>3.1</v>
      </c>
      <c r="I605" s="4">
        <v>0</v>
      </c>
    </row>
    <row r="606" spans="1:9" x14ac:dyDescent="0.2">
      <c r="A606" s="2">
        <v>3</v>
      </c>
      <c r="B606" s="1" t="s">
        <v>94</v>
      </c>
      <c r="C606" s="4">
        <v>91</v>
      </c>
      <c r="D606" s="8">
        <v>8.01</v>
      </c>
      <c r="E606" s="4">
        <v>62</v>
      </c>
      <c r="F606" s="8">
        <v>8.8699999999999992</v>
      </c>
      <c r="G606" s="4">
        <v>29</v>
      </c>
      <c r="H606" s="8">
        <v>6.9</v>
      </c>
      <c r="I606" s="4">
        <v>0</v>
      </c>
    </row>
    <row r="607" spans="1:9" x14ac:dyDescent="0.2">
      <c r="A607" s="2">
        <v>4</v>
      </c>
      <c r="B607" s="1" t="s">
        <v>92</v>
      </c>
      <c r="C607" s="4">
        <v>85</v>
      </c>
      <c r="D607" s="8">
        <v>7.48</v>
      </c>
      <c r="E607" s="4">
        <v>44</v>
      </c>
      <c r="F607" s="8">
        <v>6.29</v>
      </c>
      <c r="G607" s="4">
        <v>41</v>
      </c>
      <c r="H607" s="8">
        <v>9.76</v>
      </c>
      <c r="I607" s="4">
        <v>0</v>
      </c>
    </row>
    <row r="608" spans="1:9" x14ac:dyDescent="0.2">
      <c r="A608" s="2">
        <v>5</v>
      </c>
      <c r="B608" s="1" t="s">
        <v>90</v>
      </c>
      <c r="C608" s="4">
        <v>77</v>
      </c>
      <c r="D608" s="8">
        <v>6.78</v>
      </c>
      <c r="E608" s="4">
        <v>59</v>
      </c>
      <c r="F608" s="8">
        <v>8.44</v>
      </c>
      <c r="G608" s="4">
        <v>18</v>
      </c>
      <c r="H608" s="8">
        <v>4.29</v>
      </c>
      <c r="I608" s="4">
        <v>0</v>
      </c>
    </row>
    <row r="609" spans="1:9" x14ac:dyDescent="0.2">
      <c r="A609" s="2">
        <v>6</v>
      </c>
      <c r="B609" s="1" t="s">
        <v>84</v>
      </c>
      <c r="C609" s="4">
        <v>73</v>
      </c>
      <c r="D609" s="8">
        <v>6.43</v>
      </c>
      <c r="E609" s="4">
        <v>41</v>
      </c>
      <c r="F609" s="8">
        <v>5.87</v>
      </c>
      <c r="G609" s="4">
        <v>32</v>
      </c>
      <c r="H609" s="8">
        <v>7.62</v>
      </c>
      <c r="I609" s="4">
        <v>0</v>
      </c>
    </row>
    <row r="610" spans="1:9" x14ac:dyDescent="0.2">
      <c r="A610" s="2">
        <v>7</v>
      </c>
      <c r="B610" s="1" t="s">
        <v>85</v>
      </c>
      <c r="C610" s="4">
        <v>59</v>
      </c>
      <c r="D610" s="8">
        <v>5.19</v>
      </c>
      <c r="E610" s="4">
        <v>44</v>
      </c>
      <c r="F610" s="8">
        <v>6.29</v>
      </c>
      <c r="G610" s="4">
        <v>15</v>
      </c>
      <c r="H610" s="8">
        <v>3.57</v>
      </c>
      <c r="I610" s="4">
        <v>0</v>
      </c>
    </row>
    <row r="611" spans="1:9" x14ac:dyDescent="0.2">
      <c r="A611" s="2">
        <v>8</v>
      </c>
      <c r="B611" s="1" t="s">
        <v>100</v>
      </c>
      <c r="C611" s="4">
        <v>36</v>
      </c>
      <c r="D611" s="8">
        <v>3.17</v>
      </c>
      <c r="E611" s="4">
        <v>18</v>
      </c>
      <c r="F611" s="8">
        <v>2.58</v>
      </c>
      <c r="G611" s="4">
        <v>7</v>
      </c>
      <c r="H611" s="8">
        <v>1.67</v>
      </c>
      <c r="I611" s="4">
        <v>0</v>
      </c>
    </row>
    <row r="612" spans="1:9" x14ac:dyDescent="0.2">
      <c r="A612" s="2">
        <v>9</v>
      </c>
      <c r="B612" s="1" t="s">
        <v>111</v>
      </c>
      <c r="C612" s="4">
        <v>35</v>
      </c>
      <c r="D612" s="8">
        <v>3.08</v>
      </c>
      <c r="E612" s="4">
        <v>25</v>
      </c>
      <c r="F612" s="8">
        <v>3.58</v>
      </c>
      <c r="G612" s="4">
        <v>10</v>
      </c>
      <c r="H612" s="8">
        <v>2.38</v>
      </c>
      <c r="I612" s="4">
        <v>0</v>
      </c>
    </row>
    <row r="613" spans="1:9" x14ac:dyDescent="0.2">
      <c r="A613" s="2">
        <v>10</v>
      </c>
      <c r="B613" s="1" t="s">
        <v>110</v>
      </c>
      <c r="C613" s="4">
        <v>30</v>
      </c>
      <c r="D613" s="8">
        <v>2.64</v>
      </c>
      <c r="E613" s="4">
        <v>8</v>
      </c>
      <c r="F613" s="8">
        <v>1.1399999999999999</v>
      </c>
      <c r="G613" s="4">
        <v>22</v>
      </c>
      <c r="H613" s="8">
        <v>5.24</v>
      </c>
      <c r="I613" s="4">
        <v>0</v>
      </c>
    </row>
    <row r="614" spans="1:9" x14ac:dyDescent="0.2">
      <c r="A614" s="2">
        <v>11</v>
      </c>
      <c r="B614" s="1" t="s">
        <v>91</v>
      </c>
      <c r="C614" s="4">
        <v>25</v>
      </c>
      <c r="D614" s="8">
        <v>2.2000000000000002</v>
      </c>
      <c r="E614" s="4">
        <v>18</v>
      </c>
      <c r="F614" s="8">
        <v>2.58</v>
      </c>
      <c r="G614" s="4">
        <v>7</v>
      </c>
      <c r="H614" s="8">
        <v>1.67</v>
      </c>
      <c r="I614" s="4">
        <v>0</v>
      </c>
    </row>
    <row r="615" spans="1:9" x14ac:dyDescent="0.2">
      <c r="A615" s="2">
        <v>11</v>
      </c>
      <c r="B615" s="1" t="s">
        <v>96</v>
      </c>
      <c r="C615" s="4">
        <v>25</v>
      </c>
      <c r="D615" s="8">
        <v>2.2000000000000002</v>
      </c>
      <c r="E615" s="4">
        <v>12</v>
      </c>
      <c r="F615" s="8">
        <v>1.72</v>
      </c>
      <c r="G615" s="4">
        <v>13</v>
      </c>
      <c r="H615" s="8">
        <v>3.1</v>
      </c>
      <c r="I615" s="4">
        <v>0</v>
      </c>
    </row>
    <row r="616" spans="1:9" x14ac:dyDescent="0.2">
      <c r="A616" s="2">
        <v>13</v>
      </c>
      <c r="B616" s="1" t="s">
        <v>89</v>
      </c>
      <c r="C616" s="4">
        <v>24</v>
      </c>
      <c r="D616" s="8">
        <v>2.11</v>
      </c>
      <c r="E616" s="4">
        <v>9</v>
      </c>
      <c r="F616" s="8">
        <v>1.29</v>
      </c>
      <c r="G616" s="4">
        <v>15</v>
      </c>
      <c r="H616" s="8">
        <v>3.57</v>
      </c>
      <c r="I616" s="4">
        <v>0</v>
      </c>
    </row>
    <row r="617" spans="1:9" x14ac:dyDescent="0.2">
      <c r="A617" s="2">
        <v>14</v>
      </c>
      <c r="B617" s="1" t="s">
        <v>86</v>
      </c>
      <c r="C617" s="4">
        <v>23</v>
      </c>
      <c r="D617" s="8">
        <v>2.02</v>
      </c>
      <c r="E617" s="4">
        <v>6</v>
      </c>
      <c r="F617" s="8">
        <v>0.86</v>
      </c>
      <c r="G617" s="4">
        <v>17</v>
      </c>
      <c r="H617" s="8">
        <v>4.05</v>
      </c>
      <c r="I617" s="4">
        <v>0</v>
      </c>
    </row>
    <row r="618" spans="1:9" x14ac:dyDescent="0.2">
      <c r="A618" s="2">
        <v>15</v>
      </c>
      <c r="B618" s="1" t="s">
        <v>112</v>
      </c>
      <c r="C618" s="4">
        <v>22</v>
      </c>
      <c r="D618" s="8">
        <v>1.94</v>
      </c>
      <c r="E618" s="4">
        <v>14</v>
      </c>
      <c r="F618" s="8">
        <v>2</v>
      </c>
      <c r="G618" s="4">
        <v>8</v>
      </c>
      <c r="H618" s="8">
        <v>1.9</v>
      </c>
      <c r="I618" s="4">
        <v>0</v>
      </c>
    </row>
    <row r="619" spans="1:9" x14ac:dyDescent="0.2">
      <c r="A619" s="2">
        <v>16</v>
      </c>
      <c r="B619" s="1" t="s">
        <v>109</v>
      </c>
      <c r="C619" s="4">
        <v>19</v>
      </c>
      <c r="D619" s="8">
        <v>1.67</v>
      </c>
      <c r="E619" s="4">
        <v>10</v>
      </c>
      <c r="F619" s="8">
        <v>1.43</v>
      </c>
      <c r="G619" s="4">
        <v>9</v>
      </c>
      <c r="H619" s="8">
        <v>2.14</v>
      </c>
      <c r="I619" s="4">
        <v>0</v>
      </c>
    </row>
    <row r="620" spans="1:9" x14ac:dyDescent="0.2">
      <c r="A620" s="2">
        <v>17</v>
      </c>
      <c r="B620" s="1" t="s">
        <v>101</v>
      </c>
      <c r="C620" s="4">
        <v>17</v>
      </c>
      <c r="D620" s="8">
        <v>1.5</v>
      </c>
      <c r="E620" s="4">
        <v>12</v>
      </c>
      <c r="F620" s="8">
        <v>1.72</v>
      </c>
      <c r="G620" s="4">
        <v>5</v>
      </c>
      <c r="H620" s="8">
        <v>1.19</v>
      </c>
      <c r="I620" s="4">
        <v>0</v>
      </c>
    </row>
    <row r="621" spans="1:9" x14ac:dyDescent="0.2">
      <c r="A621" s="2">
        <v>17</v>
      </c>
      <c r="B621" s="1" t="s">
        <v>103</v>
      </c>
      <c r="C621" s="4">
        <v>17</v>
      </c>
      <c r="D621" s="8">
        <v>1.5</v>
      </c>
      <c r="E621" s="4">
        <v>12</v>
      </c>
      <c r="F621" s="8">
        <v>1.72</v>
      </c>
      <c r="G621" s="4">
        <v>5</v>
      </c>
      <c r="H621" s="8">
        <v>1.19</v>
      </c>
      <c r="I621" s="4">
        <v>0</v>
      </c>
    </row>
    <row r="622" spans="1:9" x14ac:dyDescent="0.2">
      <c r="A622" s="2">
        <v>19</v>
      </c>
      <c r="B622" s="1" t="s">
        <v>104</v>
      </c>
      <c r="C622" s="4">
        <v>16</v>
      </c>
      <c r="D622" s="8">
        <v>1.41</v>
      </c>
      <c r="E622" s="4">
        <v>4</v>
      </c>
      <c r="F622" s="8">
        <v>0.56999999999999995</v>
      </c>
      <c r="G622" s="4">
        <v>12</v>
      </c>
      <c r="H622" s="8">
        <v>2.86</v>
      </c>
      <c r="I622" s="4">
        <v>0</v>
      </c>
    </row>
    <row r="623" spans="1:9" x14ac:dyDescent="0.2">
      <c r="A623" s="2">
        <v>19</v>
      </c>
      <c r="B623" s="1" t="s">
        <v>95</v>
      </c>
      <c r="C623" s="4">
        <v>16</v>
      </c>
      <c r="D623" s="8">
        <v>1.41</v>
      </c>
      <c r="E623" s="4">
        <v>11</v>
      </c>
      <c r="F623" s="8">
        <v>1.57</v>
      </c>
      <c r="G623" s="4">
        <v>5</v>
      </c>
      <c r="H623" s="8">
        <v>1.19</v>
      </c>
      <c r="I623" s="4">
        <v>0</v>
      </c>
    </row>
    <row r="624" spans="1:9" x14ac:dyDescent="0.2">
      <c r="A624" s="1"/>
      <c r="C624" s="4"/>
      <c r="D624" s="8"/>
      <c r="E624" s="4"/>
      <c r="F624" s="8"/>
      <c r="G624" s="4"/>
      <c r="H624" s="8"/>
      <c r="I624" s="4"/>
    </row>
    <row r="625" spans="1:9" x14ac:dyDescent="0.2">
      <c r="A625" s="1" t="s">
        <v>28</v>
      </c>
      <c r="C625" s="4"/>
      <c r="D625" s="8"/>
      <c r="E625" s="4"/>
      <c r="F625" s="8"/>
      <c r="G625" s="4"/>
      <c r="H625" s="8"/>
      <c r="I625" s="4"/>
    </row>
    <row r="626" spans="1:9" x14ac:dyDescent="0.2">
      <c r="A626" s="2">
        <v>1</v>
      </c>
      <c r="B626" s="1" t="s">
        <v>98</v>
      </c>
      <c r="C626" s="4">
        <v>178</v>
      </c>
      <c r="D626" s="8">
        <v>11.08</v>
      </c>
      <c r="E626" s="4">
        <v>143</v>
      </c>
      <c r="F626" s="8">
        <v>22</v>
      </c>
      <c r="G626" s="4">
        <v>34</v>
      </c>
      <c r="H626" s="8">
        <v>3.57</v>
      </c>
      <c r="I626" s="4">
        <v>0</v>
      </c>
    </row>
    <row r="627" spans="1:9" x14ac:dyDescent="0.2">
      <c r="A627" s="2">
        <v>2</v>
      </c>
      <c r="B627" s="1" t="s">
        <v>97</v>
      </c>
      <c r="C627" s="4">
        <v>140</v>
      </c>
      <c r="D627" s="8">
        <v>8.7100000000000009</v>
      </c>
      <c r="E627" s="4">
        <v>119</v>
      </c>
      <c r="F627" s="8">
        <v>18.309999999999999</v>
      </c>
      <c r="G627" s="4">
        <v>21</v>
      </c>
      <c r="H627" s="8">
        <v>2.2000000000000002</v>
      </c>
      <c r="I627" s="4">
        <v>0</v>
      </c>
    </row>
    <row r="628" spans="1:9" x14ac:dyDescent="0.2">
      <c r="A628" s="2">
        <v>3</v>
      </c>
      <c r="B628" s="1" t="s">
        <v>85</v>
      </c>
      <c r="C628" s="4">
        <v>123</v>
      </c>
      <c r="D628" s="8">
        <v>7.65</v>
      </c>
      <c r="E628" s="4">
        <v>20</v>
      </c>
      <c r="F628" s="8">
        <v>3.08</v>
      </c>
      <c r="G628" s="4">
        <v>103</v>
      </c>
      <c r="H628" s="8">
        <v>10.81</v>
      </c>
      <c r="I628" s="4">
        <v>0</v>
      </c>
    </row>
    <row r="629" spans="1:9" x14ac:dyDescent="0.2">
      <c r="A629" s="2">
        <v>4</v>
      </c>
      <c r="B629" s="1" t="s">
        <v>84</v>
      </c>
      <c r="C629" s="4">
        <v>120</v>
      </c>
      <c r="D629" s="8">
        <v>7.47</v>
      </c>
      <c r="E629" s="4">
        <v>20</v>
      </c>
      <c r="F629" s="8">
        <v>3.08</v>
      </c>
      <c r="G629" s="4">
        <v>100</v>
      </c>
      <c r="H629" s="8">
        <v>10.49</v>
      </c>
      <c r="I629" s="4">
        <v>0</v>
      </c>
    </row>
    <row r="630" spans="1:9" x14ac:dyDescent="0.2">
      <c r="A630" s="2">
        <v>5</v>
      </c>
      <c r="B630" s="1" t="s">
        <v>101</v>
      </c>
      <c r="C630" s="4">
        <v>82</v>
      </c>
      <c r="D630" s="8">
        <v>5.0999999999999996</v>
      </c>
      <c r="E630" s="4">
        <v>66</v>
      </c>
      <c r="F630" s="8">
        <v>10.15</v>
      </c>
      <c r="G630" s="4">
        <v>16</v>
      </c>
      <c r="H630" s="8">
        <v>1.68</v>
      </c>
      <c r="I630" s="4">
        <v>0</v>
      </c>
    </row>
    <row r="631" spans="1:9" x14ac:dyDescent="0.2">
      <c r="A631" s="2">
        <v>6</v>
      </c>
      <c r="B631" s="1" t="s">
        <v>86</v>
      </c>
      <c r="C631" s="4">
        <v>80</v>
      </c>
      <c r="D631" s="8">
        <v>4.9800000000000004</v>
      </c>
      <c r="E631" s="4">
        <v>8</v>
      </c>
      <c r="F631" s="8">
        <v>1.23</v>
      </c>
      <c r="G631" s="4">
        <v>72</v>
      </c>
      <c r="H631" s="8">
        <v>7.56</v>
      </c>
      <c r="I631" s="4">
        <v>0</v>
      </c>
    </row>
    <row r="632" spans="1:9" x14ac:dyDescent="0.2">
      <c r="A632" s="2">
        <v>7</v>
      </c>
      <c r="B632" s="1" t="s">
        <v>92</v>
      </c>
      <c r="C632" s="4">
        <v>79</v>
      </c>
      <c r="D632" s="8">
        <v>4.92</v>
      </c>
      <c r="E632" s="4">
        <v>33</v>
      </c>
      <c r="F632" s="8">
        <v>5.08</v>
      </c>
      <c r="G632" s="4">
        <v>46</v>
      </c>
      <c r="H632" s="8">
        <v>4.83</v>
      </c>
      <c r="I632" s="4">
        <v>0</v>
      </c>
    </row>
    <row r="633" spans="1:9" x14ac:dyDescent="0.2">
      <c r="A633" s="2">
        <v>8</v>
      </c>
      <c r="B633" s="1" t="s">
        <v>94</v>
      </c>
      <c r="C633" s="4">
        <v>69</v>
      </c>
      <c r="D633" s="8">
        <v>4.29</v>
      </c>
      <c r="E633" s="4">
        <v>11</v>
      </c>
      <c r="F633" s="8">
        <v>1.69</v>
      </c>
      <c r="G633" s="4">
        <v>58</v>
      </c>
      <c r="H633" s="8">
        <v>6.09</v>
      </c>
      <c r="I633" s="4">
        <v>0</v>
      </c>
    </row>
    <row r="634" spans="1:9" x14ac:dyDescent="0.2">
      <c r="A634" s="2">
        <v>9</v>
      </c>
      <c r="B634" s="1" t="s">
        <v>100</v>
      </c>
      <c r="C634" s="4">
        <v>58</v>
      </c>
      <c r="D634" s="8">
        <v>3.61</v>
      </c>
      <c r="E634" s="4">
        <v>39</v>
      </c>
      <c r="F634" s="8">
        <v>6</v>
      </c>
      <c r="G634" s="4">
        <v>19</v>
      </c>
      <c r="H634" s="8">
        <v>1.99</v>
      </c>
      <c r="I634" s="4">
        <v>0</v>
      </c>
    </row>
    <row r="635" spans="1:9" x14ac:dyDescent="0.2">
      <c r="A635" s="2">
        <v>10</v>
      </c>
      <c r="B635" s="1" t="s">
        <v>90</v>
      </c>
      <c r="C635" s="4">
        <v>54</v>
      </c>
      <c r="D635" s="8">
        <v>3.36</v>
      </c>
      <c r="E635" s="4">
        <v>39</v>
      </c>
      <c r="F635" s="8">
        <v>6</v>
      </c>
      <c r="G635" s="4">
        <v>15</v>
      </c>
      <c r="H635" s="8">
        <v>1.57</v>
      </c>
      <c r="I635" s="4">
        <v>0</v>
      </c>
    </row>
    <row r="636" spans="1:9" x14ac:dyDescent="0.2">
      <c r="A636" s="2">
        <v>11</v>
      </c>
      <c r="B636" s="1" t="s">
        <v>106</v>
      </c>
      <c r="C636" s="4">
        <v>41</v>
      </c>
      <c r="D636" s="8">
        <v>2.5499999999999998</v>
      </c>
      <c r="E636" s="4">
        <v>7</v>
      </c>
      <c r="F636" s="8">
        <v>1.08</v>
      </c>
      <c r="G636" s="4">
        <v>34</v>
      </c>
      <c r="H636" s="8">
        <v>3.57</v>
      </c>
      <c r="I636" s="4">
        <v>0</v>
      </c>
    </row>
    <row r="637" spans="1:9" x14ac:dyDescent="0.2">
      <c r="A637" s="2">
        <v>11</v>
      </c>
      <c r="B637" s="1" t="s">
        <v>95</v>
      </c>
      <c r="C637" s="4">
        <v>41</v>
      </c>
      <c r="D637" s="8">
        <v>2.5499999999999998</v>
      </c>
      <c r="E637" s="4">
        <v>20</v>
      </c>
      <c r="F637" s="8">
        <v>3.08</v>
      </c>
      <c r="G637" s="4">
        <v>21</v>
      </c>
      <c r="H637" s="8">
        <v>2.2000000000000002</v>
      </c>
      <c r="I637" s="4">
        <v>0</v>
      </c>
    </row>
    <row r="638" spans="1:9" x14ac:dyDescent="0.2">
      <c r="A638" s="2">
        <v>13</v>
      </c>
      <c r="B638" s="1" t="s">
        <v>96</v>
      </c>
      <c r="C638" s="4">
        <v>39</v>
      </c>
      <c r="D638" s="8">
        <v>2.4300000000000002</v>
      </c>
      <c r="E638" s="4">
        <v>6</v>
      </c>
      <c r="F638" s="8">
        <v>0.92</v>
      </c>
      <c r="G638" s="4">
        <v>33</v>
      </c>
      <c r="H638" s="8">
        <v>3.46</v>
      </c>
      <c r="I638" s="4">
        <v>0</v>
      </c>
    </row>
    <row r="639" spans="1:9" x14ac:dyDescent="0.2">
      <c r="A639" s="2">
        <v>14</v>
      </c>
      <c r="B639" s="1" t="s">
        <v>93</v>
      </c>
      <c r="C639" s="4">
        <v>37</v>
      </c>
      <c r="D639" s="8">
        <v>2.2999999999999998</v>
      </c>
      <c r="E639" s="4">
        <v>3</v>
      </c>
      <c r="F639" s="8">
        <v>0.46</v>
      </c>
      <c r="G639" s="4">
        <v>34</v>
      </c>
      <c r="H639" s="8">
        <v>3.57</v>
      </c>
      <c r="I639" s="4">
        <v>0</v>
      </c>
    </row>
    <row r="640" spans="1:9" x14ac:dyDescent="0.2">
      <c r="A640" s="2">
        <v>15</v>
      </c>
      <c r="B640" s="1" t="s">
        <v>91</v>
      </c>
      <c r="C640" s="4">
        <v>32</v>
      </c>
      <c r="D640" s="8">
        <v>1.99</v>
      </c>
      <c r="E640" s="4">
        <v>14</v>
      </c>
      <c r="F640" s="8">
        <v>2.15</v>
      </c>
      <c r="G640" s="4">
        <v>18</v>
      </c>
      <c r="H640" s="8">
        <v>1.89</v>
      </c>
      <c r="I640" s="4">
        <v>0</v>
      </c>
    </row>
    <row r="641" spans="1:9" x14ac:dyDescent="0.2">
      <c r="A641" s="2">
        <v>16</v>
      </c>
      <c r="B641" s="1" t="s">
        <v>87</v>
      </c>
      <c r="C641" s="4">
        <v>29</v>
      </c>
      <c r="D641" s="8">
        <v>1.8</v>
      </c>
      <c r="E641" s="4">
        <v>1</v>
      </c>
      <c r="F641" s="8">
        <v>0.15</v>
      </c>
      <c r="G641" s="4">
        <v>28</v>
      </c>
      <c r="H641" s="8">
        <v>2.94</v>
      </c>
      <c r="I641" s="4">
        <v>0</v>
      </c>
    </row>
    <row r="642" spans="1:9" x14ac:dyDescent="0.2">
      <c r="A642" s="2">
        <v>17</v>
      </c>
      <c r="B642" s="1" t="s">
        <v>102</v>
      </c>
      <c r="C642" s="4">
        <v>28</v>
      </c>
      <c r="D642" s="8">
        <v>1.74</v>
      </c>
      <c r="E642" s="4">
        <v>0</v>
      </c>
      <c r="F642" s="8">
        <v>0</v>
      </c>
      <c r="G642" s="4">
        <v>28</v>
      </c>
      <c r="H642" s="8">
        <v>2.94</v>
      </c>
      <c r="I642" s="4">
        <v>0</v>
      </c>
    </row>
    <row r="643" spans="1:9" x14ac:dyDescent="0.2">
      <c r="A643" s="2">
        <v>18</v>
      </c>
      <c r="B643" s="1" t="s">
        <v>117</v>
      </c>
      <c r="C643" s="4">
        <v>27</v>
      </c>
      <c r="D643" s="8">
        <v>1.68</v>
      </c>
      <c r="E643" s="4">
        <v>7</v>
      </c>
      <c r="F643" s="8">
        <v>1.08</v>
      </c>
      <c r="G643" s="4">
        <v>20</v>
      </c>
      <c r="H643" s="8">
        <v>2.1</v>
      </c>
      <c r="I643" s="4">
        <v>0</v>
      </c>
    </row>
    <row r="644" spans="1:9" x14ac:dyDescent="0.2">
      <c r="A644" s="2">
        <v>19</v>
      </c>
      <c r="B644" s="1" t="s">
        <v>99</v>
      </c>
      <c r="C644" s="4">
        <v>24</v>
      </c>
      <c r="D644" s="8">
        <v>1.49</v>
      </c>
      <c r="E644" s="4">
        <v>8</v>
      </c>
      <c r="F644" s="8">
        <v>1.23</v>
      </c>
      <c r="G644" s="4">
        <v>16</v>
      </c>
      <c r="H644" s="8">
        <v>1.68</v>
      </c>
      <c r="I644" s="4">
        <v>0</v>
      </c>
    </row>
    <row r="645" spans="1:9" x14ac:dyDescent="0.2">
      <c r="A645" s="2">
        <v>19</v>
      </c>
      <c r="B645" s="1" t="s">
        <v>103</v>
      </c>
      <c r="C645" s="4">
        <v>24</v>
      </c>
      <c r="D645" s="8">
        <v>1.49</v>
      </c>
      <c r="E645" s="4">
        <v>13</v>
      </c>
      <c r="F645" s="8">
        <v>2</v>
      </c>
      <c r="G645" s="4">
        <v>11</v>
      </c>
      <c r="H645" s="8">
        <v>1.1499999999999999</v>
      </c>
      <c r="I645" s="4">
        <v>0</v>
      </c>
    </row>
    <row r="646" spans="1:9" x14ac:dyDescent="0.2">
      <c r="A646" s="1"/>
      <c r="C646" s="4"/>
      <c r="D646" s="8"/>
      <c r="E646" s="4"/>
      <c r="F646" s="8"/>
      <c r="G646" s="4"/>
      <c r="H646" s="8"/>
      <c r="I646" s="4"/>
    </row>
    <row r="647" spans="1:9" x14ac:dyDescent="0.2">
      <c r="A647" s="1" t="s">
        <v>29</v>
      </c>
      <c r="C647" s="4"/>
      <c r="D647" s="8"/>
      <c r="E647" s="4"/>
      <c r="F647" s="8"/>
      <c r="G647" s="4"/>
      <c r="H647" s="8"/>
      <c r="I647" s="4"/>
    </row>
    <row r="648" spans="1:9" x14ac:dyDescent="0.2">
      <c r="A648" s="2">
        <v>1</v>
      </c>
      <c r="B648" s="1" t="s">
        <v>97</v>
      </c>
      <c r="C648" s="4">
        <v>334</v>
      </c>
      <c r="D648" s="8">
        <v>18.690000000000001</v>
      </c>
      <c r="E648" s="4">
        <v>303</v>
      </c>
      <c r="F648" s="8">
        <v>31.08</v>
      </c>
      <c r="G648" s="4">
        <v>31</v>
      </c>
      <c r="H648" s="8">
        <v>3.88</v>
      </c>
      <c r="I648" s="4">
        <v>0</v>
      </c>
    </row>
    <row r="649" spans="1:9" x14ac:dyDescent="0.2">
      <c r="A649" s="2">
        <v>2</v>
      </c>
      <c r="B649" s="1" t="s">
        <v>98</v>
      </c>
      <c r="C649" s="4">
        <v>220</v>
      </c>
      <c r="D649" s="8">
        <v>12.31</v>
      </c>
      <c r="E649" s="4">
        <v>197</v>
      </c>
      <c r="F649" s="8">
        <v>20.21</v>
      </c>
      <c r="G649" s="4">
        <v>23</v>
      </c>
      <c r="H649" s="8">
        <v>2.88</v>
      </c>
      <c r="I649" s="4">
        <v>0</v>
      </c>
    </row>
    <row r="650" spans="1:9" x14ac:dyDescent="0.2">
      <c r="A650" s="2">
        <v>3</v>
      </c>
      <c r="B650" s="1" t="s">
        <v>94</v>
      </c>
      <c r="C650" s="4">
        <v>126</v>
      </c>
      <c r="D650" s="8">
        <v>7.05</v>
      </c>
      <c r="E650" s="4">
        <v>43</v>
      </c>
      <c r="F650" s="8">
        <v>4.41</v>
      </c>
      <c r="G650" s="4">
        <v>83</v>
      </c>
      <c r="H650" s="8">
        <v>10.38</v>
      </c>
      <c r="I650" s="4">
        <v>0</v>
      </c>
    </row>
    <row r="651" spans="1:9" x14ac:dyDescent="0.2">
      <c r="A651" s="2">
        <v>4</v>
      </c>
      <c r="B651" s="1" t="s">
        <v>84</v>
      </c>
      <c r="C651" s="4">
        <v>124</v>
      </c>
      <c r="D651" s="8">
        <v>6.94</v>
      </c>
      <c r="E651" s="4">
        <v>37</v>
      </c>
      <c r="F651" s="8">
        <v>3.79</v>
      </c>
      <c r="G651" s="4">
        <v>87</v>
      </c>
      <c r="H651" s="8">
        <v>10.88</v>
      </c>
      <c r="I651" s="4">
        <v>0</v>
      </c>
    </row>
    <row r="652" spans="1:9" x14ac:dyDescent="0.2">
      <c r="A652" s="2">
        <v>5</v>
      </c>
      <c r="B652" s="1" t="s">
        <v>92</v>
      </c>
      <c r="C652" s="4">
        <v>103</v>
      </c>
      <c r="D652" s="8">
        <v>5.76</v>
      </c>
      <c r="E652" s="4">
        <v>37</v>
      </c>
      <c r="F652" s="8">
        <v>3.79</v>
      </c>
      <c r="G652" s="4">
        <v>66</v>
      </c>
      <c r="H652" s="8">
        <v>8.25</v>
      </c>
      <c r="I652" s="4">
        <v>0</v>
      </c>
    </row>
    <row r="653" spans="1:9" x14ac:dyDescent="0.2">
      <c r="A653" s="2">
        <v>6</v>
      </c>
      <c r="B653" s="1" t="s">
        <v>85</v>
      </c>
      <c r="C653" s="4">
        <v>87</v>
      </c>
      <c r="D653" s="8">
        <v>4.87</v>
      </c>
      <c r="E653" s="4">
        <v>36</v>
      </c>
      <c r="F653" s="8">
        <v>3.69</v>
      </c>
      <c r="G653" s="4">
        <v>51</v>
      </c>
      <c r="H653" s="8">
        <v>6.38</v>
      </c>
      <c r="I653" s="4">
        <v>0</v>
      </c>
    </row>
    <row r="654" spans="1:9" x14ac:dyDescent="0.2">
      <c r="A654" s="2">
        <v>7</v>
      </c>
      <c r="B654" s="1" t="s">
        <v>86</v>
      </c>
      <c r="C654" s="4">
        <v>84</v>
      </c>
      <c r="D654" s="8">
        <v>4.7</v>
      </c>
      <c r="E654" s="4">
        <v>14</v>
      </c>
      <c r="F654" s="8">
        <v>1.44</v>
      </c>
      <c r="G654" s="4">
        <v>70</v>
      </c>
      <c r="H654" s="8">
        <v>8.75</v>
      </c>
      <c r="I654" s="4">
        <v>0</v>
      </c>
    </row>
    <row r="655" spans="1:9" x14ac:dyDescent="0.2">
      <c r="A655" s="2">
        <v>8</v>
      </c>
      <c r="B655" s="1" t="s">
        <v>100</v>
      </c>
      <c r="C655" s="4">
        <v>64</v>
      </c>
      <c r="D655" s="8">
        <v>3.58</v>
      </c>
      <c r="E655" s="4">
        <v>48</v>
      </c>
      <c r="F655" s="8">
        <v>4.92</v>
      </c>
      <c r="G655" s="4">
        <v>14</v>
      </c>
      <c r="H655" s="8">
        <v>1.75</v>
      </c>
      <c r="I655" s="4">
        <v>0</v>
      </c>
    </row>
    <row r="656" spans="1:9" x14ac:dyDescent="0.2">
      <c r="A656" s="2">
        <v>9</v>
      </c>
      <c r="B656" s="1" t="s">
        <v>91</v>
      </c>
      <c r="C656" s="4">
        <v>60</v>
      </c>
      <c r="D656" s="8">
        <v>3.36</v>
      </c>
      <c r="E656" s="4">
        <v>29</v>
      </c>
      <c r="F656" s="8">
        <v>2.97</v>
      </c>
      <c r="G656" s="4">
        <v>31</v>
      </c>
      <c r="H656" s="8">
        <v>3.88</v>
      </c>
      <c r="I656" s="4">
        <v>0</v>
      </c>
    </row>
    <row r="657" spans="1:9" x14ac:dyDescent="0.2">
      <c r="A657" s="2">
        <v>10</v>
      </c>
      <c r="B657" s="1" t="s">
        <v>90</v>
      </c>
      <c r="C657" s="4">
        <v>58</v>
      </c>
      <c r="D657" s="8">
        <v>3.25</v>
      </c>
      <c r="E657" s="4">
        <v>40</v>
      </c>
      <c r="F657" s="8">
        <v>4.0999999999999996</v>
      </c>
      <c r="G657" s="4">
        <v>18</v>
      </c>
      <c r="H657" s="8">
        <v>2.25</v>
      </c>
      <c r="I657" s="4">
        <v>0</v>
      </c>
    </row>
    <row r="658" spans="1:9" x14ac:dyDescent="0.2">
      <c r="A658" s="2">
        <v>11</v>
      </c>
      <c r="B658" s="1" t="s">
        <v>101</v>
      </c>
      <c r="C658" s="4">
        <v>55</v>
      </c>
      <c r="D658" s="8">
        <v>3.08</v>
      </c>
      <c r="E658" s="4">
        <v>50</v>
      </c>
      <c r="F658" s="8">
        <v>5.13</v>
      </c>
      <c r="G658" s="4">
        <v>5</v>
      </c>
      <c r="H658" s="8">
        <v>0.63</v>
      </c>
      <c r="I658" s="4">
        <v>0</v>
      </c>
    </row>
    <row r="659" spans="1:9" x14ac:dyDescent="0.2">
      <c r="A659" s="2">
        <v>12</v>
      </c>
      <c r="B659" s="1" t="s">
        <v>96</v>
      </c>
      <c r="C659" s="4">
        <v>40</v>
      </c>
      <c r="D659" s="8">
        <v>2.2400000000000002</v>
      </c>
      <c r="E659" s="4">
        <v>10</v>
      </c>
      <c r="F659" s="8">
        <v>1.03</v>
      </c>
      <c r="G659" s="4">
        <v>30</v>
      </c>
      <c r="H659" s="8">
        <v>3.75</v>
      </c>
      <c r="I659" s="4">
        <v>0</v>
      </c>
    </row>
    <row r="660" spans="1:9" x14ac:dyDescent="0.2">
      <c r="A660" s="2">
        <v>13</v>
      </c>
      <c r="B660" s="1" t="s">
        <v>103</v>
      </c>
      <c r="C660" s="4">
        <v>32</v>
      </c>
      <c r="D660" s="8">
        <v>1.79</v>
      </c>
      <c r="E660" s="4">
        <v>23</v>
      </c>
      <c r="F660" s="8">
        <v>2.36</v>
      </c>
      <c r="G660" s="4">
        <v>9</v>
      </c>
      <c r="H660" s="8">
        <v>1.1299999999999999</v>
      </c>
      <c r="I660" s="4">
        <v>0</v>
      </c>
    </row>
    <row r="661" spans="1:9" x14ac:dyDescent="0.2">
      <c r="A661" s="2">
        <v>14</v>
      </c>
      <c r="B661" s="1" t="s">
        <v>87</v>
      </c>
      <c r="C661" s="4">
        <v>30</v>
      </c>
      <c r="D661" s="8">
        <v>1.68</v>
      </c>
      <c r="E661" s="4">
        <v>2</v>
      </c>
      <c r="F661" s="8">
        <v>0.21</v>
      </c>
      <c r="G661" s="4">
        <v>28</v>
      </c>
      <c r="H661" s="8">
        <v>3.5</v>
      </c>
      <c r="I661" s="4">
        <v>0</v>
      </c>
    </row>
    <row r="662" spans="1:9" x14ac:dyDescent="0.2">
      <c r="A662" s="2">
        <v>15</v>
      </c>
      <c r="B662" s="1" t="s">
        <v>95</v>
      </c>
      <c r="C662" s="4">
        <v>28</v>
      </c>
      <c r="D662" s="8">
        <v>1.57</v>
      </c>
      <c r="E662" s="4">
        <v>20</v>
      </c>
      <c r="F662" s="8">
        <v>2.0499999999999998</v>
      </c>
      <c r="G662" s="4">
        <v>8</v>
      </c>
      <c r="H662" s="8">
        <v>1</v>
      </c>
      <c r="I662" s="4">
        <v>0</v>
      </c>
    </row>
    <row r="663" spans="1:9" x14ac:dyDescent="0.2">
      <c r="A663" s="2">
        <v>16</v>
      </c>
      <c r="B663" s="1" t="s">
        <v>102</v>
      </c>
      <c r="C663" s="4">
        <v>26</v>
      </c>
      <c r="D663" s="8">
        <v>1.45</v>
      </c>
      <c r="E663" s="4">
        <v>0</v>
      </c>
      <c r="F663" s="8">
        <v>0</v>
      </c>
      <c r="G663" s="4">
        <v>23</v>
      </c>
      <c r="H663" s="8">
        <v>2.88</v>
      </c>
      <c r="I663" s="4">
        <v>1</v>
      </c>
    </row>
    <row r="664" spans="1:9" x14ac:dyDescent="0.2">
      <c r="A664" s="2">
        <v>17</v>
      </c>
      <c r="B664" s="1" t="s">
        <v>93</v>
      </c>
      <c r="C664" s="4">
        <v>20</v>
      </c>
      <c r="D664" s="8">
        <v>1.1200000000000001</v>
      </c>
      <c r="E664" s="4">
        <v>1</v>
      </c>
      <c r="F664" s="8">
        <v>0.1</v>
      </c>
      <c r="G664" s="4">
        <v>19</v>
      </c>
      <c r="H664" s="8">
        <v>2.38</v>
      </c>
      <c r="I664" s="4">
        <v>0</v>
      </c>
    </row>
    <row r="665" spans="1:9" x14ac:dyDescent="0.2">
      <c r="A665" s="2">
        <v>17</v>
      </c>
      <c r="B665" s="1" t="s">
        <v>118</v>
      </c>
      <c r="C665" s="4">
        <v>20</v>
      </c>
      <c r="D665" s="8">
        <v>1.1200000000000001</v>
      </c>
      <c r="E665" s="4">
        <v>5</v>
      </c>
      <c r="F665" s="8">
        <v>0.51</v>
      </c>
      <c r="G665" s="4">
        <v>15</v>
      </c>
      <c r="H665" s="8">
        <v>1.88</v>
      </c>
      <c r="I665" s="4">
        <v>0</v>
      </c>
    </row>
    <row r="666" spans="1:9" x14ac:dyDescent="0.2">
      <c r="A666" s="2">
        <v>19</v>
      </c>
      <c r="B666" s="1" t="s">
        <v>112</v>
      </c>
      <c r="C666" s="4">
        <v>19</v>
      </c>
      <c r="D666" s="8">
        <v>1.06</v>
      </c>
      <c r="E666" s="4">
        <v>10</v>
      </c>
      <c r="F666" s="8">
        <v>1.03</v>
      </c>
      <c r="G666" s="4">
        <v>8</v>
      </c>
      <c r="H666" s="8">
        <v>1</v>
      </c>
      <c r="I666" s="4">
        <v>1</v>
      </c>
    </row>
    <row r="667" spans="1:9" x14ac:dyDescent="0.2">
      <c r="A667" s="2">
        <v>20</v>
      </c>
      <c r="B667" s="1" t="s">
        <v>88</v>
      </c>
      <c r="C667" s="4">
        <v>18</v>
      </c>
      <c r="D667" s="8">
        <v>1.01</v>
      </c>
      <c r="E667" s="4">
        <v>2</v>
      </c>
      <c r="F667" s="8">
        <v>0.21</v>
      </c>
      <c r="G667" s="4">
        <v>16</v>
      </c>
      <c r="H667" s="8">
        <v>2</v>
      </c>
      <c r="I667" s="4">
        <v>0</v>
      </c>
    </row>
    <row r="668" spans="1:9" x14ac:dyDescent="0.2">
      <c r="A668" s="1"/>
      <c r="C668" s="4"/>
      <c r="D668" s="8"/>
      <c r="E668" s="4"/>
      <c r="F668" s="8"/>
      <c r="G668" s="4"/>
      <c r="H668" s="8"/>
      <c r="I668" s="4"/>
    </row>
    <row r="669" spans="1:9" x14ac:dyDescent="0.2">
      <c r="A669" s="1" t="s">
        <v>30</v>
      </c>
      <c r="C669" s="4"/>
      <c r="D669" s="8"/>
      <c r="E669" s="4"/>
      <c r="F669" s="8"/>
      <c r="G669" s="4"/>
      <c r="H669" s="8"/>
      <c r="I669" s="4"/>
    </row>
    <row r="670" spans="1:9" x14ac:dyDescent="0.2">
      <c r="A670" s="2">
        <v>1</v>
      </c>
      <c r="B670" s="1" t="s">
        <v>98</v>
      </c>
      <c r="C670" s="4">
        <v>129</v>
      </c>
      <c r="D670" s="8">
        <v>12.38</v>
      </c>
      <c r="E670" s="4">
        <v>120</v>
      </c>
      <c r="F670" s="8">
        <v>20.48</v>
      </c>
      <c r="G670" s="4">
        <v>9</v>
      </c>
      <c r="H670" s="8">
        <v>2</v>
      </c>
      <c r="I670" s="4">
        <v>0</v>
      </c>
    </row>
    <row r="671" spans="1:9" x14ac:dyDescent="0.2">
      <c r="A671" s="2">
        <v>2</v>
      </c>
      <c r="B671" s="1" t="s">
        <v>97</v>
      </c>
      <c r="C671" s="4">
        <v>99</v>
      </c>
      <c r="D671" s="8">
        <v>9.5</v>
      </c>
      <c r="E671" s="4">
        <v>90</v>
      </c>
      <c r="F671" s="8">
        <v>15.36</v>
      </c>
      <c r="G671" s="4">
        <v>9</v>
      </c>
      <c r="H671" s="8">
        <v>2</v>
      </c>
      <c r="I671" s="4">
        <v>0</v>
      </c>
    </row>
    <row r="672" spans="1:9" x14ac:dyDescent="0.2">
      <c r="A672" s="2">
        <v>3</v>
      </c>
      <c r="B672" s="1" t="s">
        <v>84</v>
      </c>
      <c r="C672" s="4">
        <v>86</v>
      </c>
      <c r="D672" s="8">
        <v>8.25</v>
      </c>
      <c r="E672" s="4">
        <v>35</v>
      </c>
      <c r="F672" s="8">
        <v>5.97</v>
      </c>
      <c r="G672" s="4">
        <v>51</v>
      </c>
      <c r="H672" s="8">
        <v>11.31</v>
      </c>
      <c r="I672" s="4">
        <v>0</v>
      </c>
    </row>
    <row r="673" spans="1:9" x14ac:dyDescent="0.2">
      <c r="A673" s="2">
        <v>4</v>
      </c>
      <c r="B673" s="1" t="s">
        <v>85</v>
      </c>
      <c r="C673" s="4">
        <v>75</v>
      </c>
      <c r="D673" s="8">
        <v>7.2</v>
      </c>
      <c r="E673" s="4">
        <v>39</v>
      </c>
      <c r="F673" s="8">
        <v>6.66</v>
      </c>
      <c r="G673" s="4">
        <v>36</v>
      </c>
      <c r="H673" s="8">
        <v>7.98</v>
      </c>
      <c r="I673" s="4">
        <v>0</v>
      </c>
    </row>
    <row r="674" spans="1:9" x14ac:dyDescent="0.2">
      <c r="A674" s="2">
        <v>5</v>
      </c>
      <c r="B674" s="1" t="s">
        <v>92</v>
      </c>
      <c r="C674" s="4">
        <v>73</v>
      </c>
      <c r="D674" s="8">
        <v>7.01</v>
      </c>
      <c r="E674" s="4">
        <v>36</v>
      </c>
      <c r="F674" s="8">
        <v>6.14</v>
      </c>
      <c r="G674" s="4">
        <v>37</v>
      </c>
      <c r="H674" s="8">
        <v>8.1999999999999993</v>
      </c>
      <c r="I674" s="4">
        <v>0</v>
      </c>
    </row>
    <row r="675" spans="1:9" x14ac:dyDescent="0.2">
      <c r="A675" s="2">
        <v>6</v>
      </c>
      <c r="B675" s="1" t="s">
        <v>90</v>
      </c>
      <c r="C675" s="4">
        <v>67</v>
      </c>
      <c r="D675" s="8">
        <v>6.43</v>
      </c>
      <c r="E675" s="4">
        <v>44</v>
      </c>
      <c r="F675" s="8">
        <v>7.51</v>
      </c>
      <c r="G675" s="4">
        <v>23</v>
      </c>
      <c r="H675" s="8">
        <v>5.0999999999999996</v>
      </c>
      <c r="I675" s="4">
        <v>0</v>
      </c>
    </row>
    <row r="676" spans="1:9" x14ac:dyDescent="0.2">
      <c r="A676" s="2">
        <v>7</v>
      </c>
      <c r="B676" s="1" t="s">
        <v>86</v>
      </c>
      <c r="C676" s="4">
        <v>54</v>
      </c>
      <c r="D676" s="8">
        <v>5.18</v>
      </c>
      <c r="E676" s="4">
        <v>11</v>
      </c>
      <c r="F676" s="8">
        <v>1.88</v>
      </c>
      <c r="G676" s="4">
        <v>43</v>
      </c>
      <c r="H676" s="8">
        <v>9.5299999999999994</v>
      </c>
      <c r="I676" s="4">
        <v>0</v>
      </c>
    </row>
    <row r="677" spans="1:9" x14ac:dyDescent="0.2">
      <c r="A677" s="2">
        <v>8</v>
      </c>
      <c r="B677" s="1" t="s">
        <v>91</v>
      </c>
      <c r="C677" s="4">
        <v>28</v>
      </c>
      <c r="D677" s="8">
        <v>2.69</v>
      </c>
      <c r="E677" s="4">
        <v>16</v>
      </c>
      <c r="F677" s="8">
        <v>2.73</v>
      </c>
      <c r="G677" s="4">
        <v>12</v>
      </c>
      <c r="H677" s="8">
        <v>2.66</v>
      </c>
      <c r="I677" s="4">
        <v>0</v>
      </c>
    </row>
    <row r="678" spans="1:9" x14ac:dyDescent="0.2">
      <c r="A678" s="2">
        <v>9</v>
      </c>
      <c r="B678" s="1" t="s">
        <v>101</v>
      </c>
      <c r="C678" s="4">
        <v>26</v>
      </c>
      <c r="D678" s="8">
        <v>2.5</v>
      </c>
      <c r="E678" s="4">
        <v>26</v>
      </c>
      <c r="F678" s="8">
        <v>4.4400000000000004</v>
      </c>
      <c r="G678" s="4">
        <v>0</v>
      </c>
      <c r="H678" s="8">
        <v>0</v>
      </c>
      <c r="I678" s="4">
        <v>0</v>
      </c>
    </row>
    <row r="679" spans="1:9" x14ac:dyDescent="0.2">
      <c r="A679" s="2">
        <v>10</v>
      </c>
      <c r="B679" s="1" t="s">
        <v>102</v>
      </c>
      <c r="C679" s="4">
        <v>24</v>
      </c>
      <c r="D679" s="8">
        <v>2.2999999999999998</v>
      </c>
      <c r="E679" s="4">
        <v>0</v>
      </c>
      <c r="F679" s="8">
        <v>0</v>
      </c>
      <c r="G679" s="4">
        <v>23</v>
      </c>
      <c r="H679" s="8">
        <v>5.0999999999999996</v>
      </c>
      <c r="I679" s="4">
        <v>0</v>
      </c>
    </row>
    <row r="680" spans="1:9" x14ac:dyDescent="0.2">
      <c r="A680" s="2">
        <v>11</v>
      </c>
      <c r="B680" s="1" t="s">
        <v>89</v>
      </c>
      <c r="C680" s="4">
        <v>23</v>
      </c>
      <c r="D680" s="8">
        <v>2.21</v>
      </c>
      <c r="E680" s="4">
        <v>12</v>
      </c>
      <c r="F680" s="8">
        <v>2.0499999999999998</v>
      </c>
      <c r="G680" s="4">
        <v>11</v>
      </c>
      <c r="H680" s="8">
        <v>2.44</v>
      </c>
      <c r="I680" s="4">
        <v>0</v>
      </c>
    </row>
    <row r="681" spans="1:9" x14ac:dyDescent="0.2">
      <c r="A681" s="2">
        <v>11</v>
      </c>
      <c r="B681" s="1" t="s">
        <v>103</v>
      </c>
      <c r="C681" s="4">
        <v>23</v>
      </c>
      <c r="D681" s="8">
        <v>2.21</v>
      </c>
      <c r="E681" s="4">
        <v>18</v>
      </c>
      <c r="F681" s="8">
        <v>3.07</v>
      </c>
      <c r="G681" s="4">
        <v>5</v>
      </c>
      <c r="H681" s="8">
        <v>1.1100000000000001</v>
      </c>
      <c r="I681" s="4">
        <v>0</v>
      </c>
    </row>
    <row r="682" spans="1:9" x14ac:dyDescent="0.2">
      <c r="A682" s="2">
        <v>13</v>
      </c>
      <c r="B682" s="1" t="s">
        <v>96</v>
      </c>
      <c r="C682" s="4">
        <v>21</v>
      </c>
      <c r="D682" s="8">
        <v>2.02</v>
      </c>
      <c r="E682" s="4">
        <v>11</v>
      </c>
      <c r="F682" s="8">
        <v>1.88</v>
      </c>
      <c r="G682" s="4">
        <v>10</v>
      </c>
      <c r="H682" s="8">
        <v>2.2200000000000002</v>
      </c>
      <c r="I682" s="4">
        <v>0</v>
      </c>
    </row>
    <row r="683" spans="1:9" x14ac:dyDescent="0.2">
      <c r="A683" s="2">
        <v>13</v>
      </c>
      <c r="B683" s="1" t="s">
        <v>112</v>
      </c>
      <c r="C683" s="4">
        <v>21</v>
      </c>
      <c r="D683" s="8">
        <v>2.02</v>
      </c>
      <c r="E683" s="4">
        <v>13</v>
      </c>
      <c r="F683" s="8">
        <v>2.2200000000000002</v>
      </c>
      <c r="G683" s="4">
        <v>8</v>
      </c>
      <c r="H683" s="8">
        <v>1.77</v>
      </c>
      <c r="I683" s="4">
        <v>0</v>
      </c>
    </row>
    <row r="684" spans="1:9" x14ac:dyDescent="0.2">
      <c r="A684" s="2">
        <v>13</v>
      </c>
      <c r="B684" s="1" t="s">
        <v>100</v>
      </c>
      <c r="C684" s="4">
        <v>21</v>
      </c>
      <c r="D684" s="8">
        <v>2.02</v>
      </c>
      <c r="E684" s="4">
        <v>14</v>
      </c>
      <c r="F684" s="8">
        <v>2.39</v>
      </c>
      <c r="G684" s="4">
        <v>6</v>
      </c>
      <c r="H684" s="8">
        <v>1.33</v>
      </c>
      <c r="I684" s="4">
        <v>0</v>
      </c>
    </row>
    <row r="685" spans="1:9" x14ac:dyDescent="0.2">
      <c r="A685" s="2">
        <v>16</v>
      </c>
      <c r="B685" s="1" t="s">
        <v>110</v>
      </c>
      <c r="C685" s="4">
        <v>20</v>
      </c>
      <c r="D685" s="8">
        <v>1.92</v>
      </c>
      <c r="E685" s="4">
        <v>9</v>
      </c>
      <c r="F685" s="8">
        <v>1.54</v>
      </c>
      <c r="G685" s="4">
        <v>11</v>
      </c>
      <c r="H685" s="8">
        <v>2.44</v>
      </c>
      <c r="I685" s="4">
        <v>0</v>
      </c>
    </row>
    <row r="686" spans="1:9" x14ac:dyDescent="0.2">
      <c r="A686" s="2">
        <v>17</v>
      </c>
      <c r="B686" s="1" t="s">
        <v>94</v>
      </c>
      <c r="C686" s="4">
        <v>19</v>
      </c>
      <c r="D686" s="8">
        <v>1.82</v>
      </c>
      <c r="E686" s="4">
        <v>9</v>
      </c>
      <c r="F686" s="8">
        <v>1.54</v>
      </c>
      <c r="G686" s="4">
        <v>10</v>
      </c>
      <c r="H686" s="8">
        <v>2.2200000000000002</v>
      </c>
      <c r="I686" s="4">
        <v>0</v>
      </c>
    </row>
    <row r="687" spans="1:9" x14ac:dyDescent="0.2">
      <c r="A687" s="2">
        <v>17</v>
      </c>
      <c r="B687" s="1" t="s">
        <v>111</v>
      </c>
      <c r="C687" s="4">
        <v>19</v>
      </c>
      <c r="D687" s="8">
        <v>1.82</v>
      </c>
      <c r="E687" s="4">
        <v>10</v>
      </c>
      <c r="F687" s="8">
        <v>1.71</v>
      </c>
      <c r="G687" s="4">
        <v>9</v>
      </c>
      <c r="H687" s="8">
        <v>2</v>
      </c>
      <c r="I687" s="4">
        <v>0</v>
      </c>
    </row>
    <row r="688" spans="1:9" x14ac:dyDescent="0.2">
      <c r="A688" s="2">
        <v>19</v>
      </c>
      <c r="B688" s="1" t="s">
        <v>95</v>
      </c>
      <c r="C688" s="4">
        <v>17</v>
      </c>
      <c r="D688" s="8">
        <v>1.63</v>
      </c>
      <c r="E688" s="4">
        <v>12</v>
      </c>
      <c r="F688" s="8">
        <v>2.0499999999999998</v>
      </c>
      <c r="G688" s="4">
        <v>5</v>
      </c>
      <c r="H688" s="8">
        <v>1.1100000000000001</v>
      </c>
      <c r="I688" s="4">
        <v>0</v>
      </c>
    </row>
    <row r="689" spans="1:9" x14ac:dyDescent="0.2">
      <c r="A689" s="2">
        <v>20</v>
      </c>
      <c r="B689" s="1" t="s">
        <v>119</v>
      </c>
      <c r="C689" s="4">
        <v>15</v>
      </c>
      <c r="D689" s="8">
        <v>1.44</v>
      </c>
      <c r="E689" s="4">
        <v>9</v>
      </c>
      <c r="F689" s="8">
        <v>1.54</v>
      </c>
      <c r="G689" s="4">
        <v>6</v>
      </c>
      <c r="H689" s="8">
        <v>1.33</v>
      </c>
      <c r="I689" s="4">
        <v>0</v>
      </c>
    </row>
    <row r="690" spans="1:9" x14ac:dyDescent="0.2">
      <c r="A690" s="1"/>
      <c r="C690" s="4"/>
      <c r="D690" s="8"/>
      <c r="E690" s="4"/>
      <c r="F690" s="8"/>
      <c r="G690" s="4"/>
      <c r="H690" s="8"/>
      <c r="I690" s="4"/>
    </row>
    <row r="691" spans="1:9" x14ac:dyDescent="0.2">
      <c r="A691" s="1" t="s">
        <v>31</v>
      </c>
      <c r="C691" s="4"/>
      <c r="D691" s="8"/>
      <c r="E691" s="4"/>
      <c r="F691" s="8"/>
      <c r="G691" s="4"/>
      <c r="H691" s="8"/>
      <c r="I691" s="4"/>
    </row>
    <row r="692" spans="1:9" x14ac:dyDescent="0.2">
      <c r="A692" s="2">
        <v>1</v>
      </c>
      <c r="B692" s="1" t="s">
        <v>94</v>
      </c>
      <c r="C692" s="4">
        <v>241</v>
      </c>
      <c r="D692" s="8">
        <v>11.65</v>
      </c>
      <c r="E692" s="4">
        <v>25</v>
      </c>
      <c r="F692" s="8">
        <v>4.75</v>
      </c>
      <c r="G692" s="4">
        <v>216</v>
      </c>
      <c r="H692" s="8">
        <v>14.04</v>
      </c>
      <c r="I692" s="4">
        <v>0</v>
      </c>
    </row>
    <row r="693" spans="1:9" x14ac:dyDescent="0.2">
      <c r="A693" s="2">
        <v>2</v>
      </c>
      <c r="B693" s="1" t="s">
        <v>98</v>
      </c>
      <c r="C693" s="4">
        <v>176</v>
      </c>
      <c r="D693" s="8">
        <v>8.51</v>
      </c>
      <c r="E693" s="4">
        <v>117</v>
      </c>
      <c r="F693" s="8">
        <v>22.24</v>
      </c>
      <c r="G693" s="4">
        <v>59</v>
      </c>
      <c r="H693" s="8">
        <v>3.83</v>
      </c>
      <c r="I693" s="4">
        <v>0</v>
      </c>
    </row>
    <row r="694" spans="1:9" x14ac:dyDescent="0.2">
      <c r="A694" s="2">
        <v>3</v>
      </c>
      <c r="B694" s="1" t="s">
        <v>97</v>
      </c>
      <c r="C694" s="4">
        <v>172</v>
      </c>
      <c r="D694" s="8">
        <v>8.31</v>
      </c>
      <c r="E694" s="4">
        <v>116</v>
      </c>
      <c r="F694" s="8">
        <v>22.05</v>
      </c>
      <c r="G694" s="4">
        <v>56</v>
      </c>
      <c r="H694" s="8">
        <v>3.64</v>
      </c>
      <c r="I694" s="4">
        <v>0</v>
      </c>
    </row>
    <row r="695" spans="1:9" x14ac:dyDescent="0.2">
      <c r="A695" s="2">
        <v>4</v>
      </c>
      <c r="B695" s="1" t="s">
        <v>95</v>
      </c>
      <c r="C695" s="4">
        <v>124</v>
      </c>
      <c r="D695" s="8">
        <v>5.99</v>
      </c>
      <c r="E695" s="4">
        <v>26</v>
      </c>
      <c r="F695" s="8">
        <v>4.9400000000000004</v>
      </c>
      <c r="G695" s="4">
        <v>98</v>
      </c>
      <c r="H695" s="8">
        <v>6.37</v>
      </c>
      <c r="I695" s="4">
        <v>0</v>
      </c>
    </row>
    <row r="696" spans="1:9" x14ac:dyDescent="0.2">
      <c r="A696" s="2">
        <v>5</v>
      </c>
      <c r="B696" s="1" t="s">
        <v>92</v>
      </c>
      <c r="C696" s="4">
        <v>86</v>
      </c>
      <c r="D696" s="8">
        <v>4.16</v>
      </c>
      <c r="E696" s="4">
        <v>27</v>
      </c>
      <c r="F696" s="8">
        <v>5.13</v>
      </c>
      <c r="G696" s="4">
        <v>58</v>
      </c>
      <c r="H696" s="8">
        <v>3.77</v>
      </c>
      <c r="I696" s="4">
        <v>1</v>
      </c>
    </row>
    <row r="697" spans="1:9" x14ac:dyDescent="0.2">
      <c r="A697" s="2">
        <v>6</v>
      </c>
      <c r="B697" s="1" t="s">
        <v>85</v>
      </c>
      <c r="C697" s="4">
        <v>82</v>
      </c>
      <c r="D697" s="8">
        <v>3.96</v>
      </c>
      <c r="E697" s="4">
        <v>5</v>
      </c>
      <c r="F697" s="8">
        <v>0.95</v>
      </c>
      <c r="G697" s="4">
        <v>77</v>
      </c>
      <c r="H697" s="8">
        <v>5</v>
      </c>
      <c r="I697" s="4">
        <v>0</v>
      </c>
    </row>
    <row r="698" spans="1:9" x14ac:dyDescent="0.2">
      <c r="A698" s="2">
        <v>7</v>
      </c>
      <c r="B698" s="1" t="s">
        <v>101</v>
      </c>
      <c r="C698" s="4">
        <v>81</v>
      </c>
      <c r="D698" s="8">
        <v>3.91</v>
      </c>
      <c r="E698" s="4">
        <v>66</v>
      </c>
      <c r="F698" s="8">
        <v>12.55</v>
      </c>
      <c r="G698" s="4">
        <v>15</v>
      </c>
      <c r="H698" s="8">
        <v>0.97</v>
      </c>
      <c r="I698" s="4">
        <v>0</v>
      </c>
    </row>
    <row r="699" spans="1:9" x14ac:dyDescent="0.2">
      <c r="A699" s="2">
        <v>8</v>
      </c>
      <c r="B699" s="1" t="s">
        <v>100</v>
      </c>
      <c r="C699" s="4">
        <v>80</v>
      </c>
      <c r="D699" s="8">
        <v>3.87</v>
      </c>
      <c r="E699" s="4">
        <v>37</v>
      </c>
      <c r="F699" s="8">
        <v>7.03</v>
      </c>
      <c r="G699" s="4">
        <v>42</v>
      </c>
      <c r="H699" s="8">
        <v>2.73</v>
      </c>
      <c r="I699" s="4">
        <v>1</v>
      </c>
    </row>
    <row r="700" spans="1:9" x14ac:dyDescent="0.2">
      <c r="A700" s="2">
        <v>9</v>
      </c>
      <c r="B700" s="1" t="s">
        <v>84</v>
      </c>
      <c r="C700" s="4">
        <v>76</v>
      </c>
      <c r="D700" s="8">
        <v>3.67</v>
      </c>
      <c r="E700" s="4">
        <v>3</v>
      </c>
      <c r="F700" s="8">
        <v>0.56999999999999995</v>
      </c>
      <c r="G700" s="4">
        <v>73</v>
      </c>
      <c r="H700" s="8">
        <v>4.74</v>
      </c>
      <c r="I700" s="4">
        <v>0</v>
      </c>
    </row>
    <row r="701" spans="1:9" x14ac:dyDescent="0.2">
      <c r="A701" s="2">
        <v>10</v>
      </c>
      <c r="B701" s="1" t="s">
        <v>87</v>
      </c>
      <c r="C701" s="4">
        <v>70</v>
      </c>
      <c r="D701" s="8">
        <v>3.38</v>
      </c>
      <c r="E701" s="4">
        <v>2</v>
      </c>
      <c r="F701" s="8">
        <v>0.38</v>
      </c>
      <c r="G701" s="4">
        <v>68</v>
      </c>
      <c r="H701" s="8">
        <v>4.42</v>
      </c>
      <c r="I701" s="4">
        <v>0</v>
      </c>
    </row>
    <row r="702" spans="1:9" x14ac:dyDescent="0.2">
      <c r="A702" s="2">
        <v>11</v>
      </c>
      <c r="B702" s="1" t="s">
        <v>90</v>
      </c>
      <c r="C702" s="4">
        <v>64</v>
      </c>
      <c r="D702" s="8">
        <v>3.09</v>
      </c>
      <c r="E702" s="4">
        <v>25</v>
      </c>
      <c r="F702" s="8">
        <v>4.75</v>
      </c>
      <c r="G702" s="4">
        <v>39</v>
      </c>
      <c r="H702" s="8">
        <v>2.5299999999999998</v>
      </c>
      <c r="I702" s="4">
        <v>0</v>
      </c>
    </row>
    <row r="703" spans="1:9" x14ac:dyDescent="0.2">
      <c r="A703" s="2">
        <v>12</v>
      </c>
      <c r="B703" s="1" t="s">
        <v>108</v>
      </c>
      <c r="C703" s="4">
        <v>56</v>
      </c>
      <c r="D703" s="8">
        <v>2.71</v>
      </c>
      <c r="E703" s="4">
        <v>0</v>
      </c>
      <c r="F703" s="8">
        <v>0</v>
      </c>
      <c r="G703" s="4">
        <v>56</v>
      </c>
      <c r="H703" s="8">
        <v>3.64</v>
      </c>
      <c r="I703" s="4">
        <v>0</v>
      </c>
    </row>
    <row r="704" spans="1:9" x14ac:dyDescent="0.2">
      <c r="A704" s="2">
        <v>13</v>
      </c>
      <c r="B704" s="1" t="s">
        <v>96</v>
      </c>
      <c r="C704" s="4">
        <v>51</v>
      </c>
      <c r="D704" s="8">
        <v>2.46</v>
      </c>
      <c r="E704" s="4">
        <v>4</v>
      </c>
      <c r="F704" s="8">
        <v>0.76</v>
      </c>
      <c r="G704" s="4">
        <v>47</v>
      </c>
      <c r="H704" s="8">
        <v>3.05</v>
      </c>
      <c r="I704" s="4">
        <v>0</v>
      </c>
    </row>
    <row r="705" spans="1:9" x14ac:dyDescent="0.2">
      <c r="A705" s="2">
        <v>13</v>
      </c>
      <c r="B705" s="1" t="s">
        <v>105</v>
      </c>
      <c r="C705" s="4">
        <v>51</v>
      </c>
      <c r="D705" s="8">
        <v>2.46</v>
      </c>
      <c r="E705" s="4">
        <v>0</v>
      </c>
      <c r="F705" s="8">
        <v>0</v>
      </c>
      <c r="G705" s="4">
        <v>51</v>
      </c>
      <c r="H705" s="8">
        <v>3.31</v>
      </c>
      <c r="I705" s="4">
        <v>0</v>
      </c>
    </row>
    <row r="706" spans="1:9" x14ac:dyDescent="0.2">
      <c r="A706" s="2">
        <v>15</v>
      </c>
      <c r="B706" s="1" t="s">
        <v>93</v>
      </c>
      <c r="C706" s="4">
        <v>48</v>
      </c>
      <c r="D706" s="8">
        <v>2.3199999999999998</v>
      </c>
      <c r="E706" s="4">
        <v>1</v>
      </c>
      <c r="F706" s="8">
        <v>0.19</v>
      </c>
      <c r="G706" s="4">
        <v>47</v>
      </c>
      <c r="H706" s="8">
        <v>3.05</v>
      </c>
      <c r="I706" s="4">
        <v>0</v>
      </c>
    </row>
    <row r="707" spans="1:9" x14ac:dyDescent="0.2">
      <c r="A707" s="2">
        <v>16</v>
      </c>
      <c r="B707" s="1" t="s">
        <v>89</v>
      </c>
      <c r="C707" s="4">
        <v>43</v>
      </c>
      <c r="D707" s="8">
        <v>2.08</v>
      </c>
      <c r="E707" s="4">
        <v>11</v>
      </c>
      <c r="F707" s="8">
        <v>2.09</v>
      </c>
      <c r="G707" s="4">
        <v>32</v>
      </c>
      <c r="H707" s="8">
        <v>2.08</v>
      </c>
      <c r="I707" s="4">
        <v>0</v>
      </c>
    </row>
    <row r="708" spans="1:9" x14ac:dyDescent="0.2">
      <c r="A708" s="2">
        <v>17</v>
      </c>
      <c r="B708" s="1" t="s">
        <v>86</v>
      </c>
      <c r="C708" s="4">
        <v>40</v>
      </c>
      <c r="D708" s="8">
        <v>1.93</v>
      </c>
      <c r="E708" s="4">
        <v>5</v>
      </c>
      <c r="F708" s="8">
        <v>0.95</v>
      </c>
      <c r="G708" s="4">
        <v>35</v>
      </c>
      <c r="H708" s="8">
        <v>2.27</v>
      </c>
      <c r="I708" s="4">
        <v>0</v>
      </c>
    </row>
    <row r="709" spans="1:9" x14ac:dyDescent="0.2">
      <c r="A709" s="2">
        <v>18</v>
      </c>
      <c r="B709" s="1" t="s">
        <v>109</v>
      </c>
      <c r="C709" s="4">
        <v>38</v>
      </c>
      <c r="D709" s="8">
        <v>1.84</v>
      </c>
      <c r="E709" s="4">
        <v>3</v>
      </c>
      <c r="F709" s="8">
        <v>0.56999999999999995</v>
      </c>
      <c r="G709" s="4">
        <v>35</v>
      </c>
      <c r="H709" s="8">
        <v>2.27</v>
      </c>
      <c r="I709" s="4">
        <v>0</v>
      </c>
    </row>
    <row r="710" spans="1:9" x14ac:dyDescent="0.2">
      <c r="A710" s="2">
        <v>19</v>
      </c>
      <c r="B710" s="1" t="s">
        <v>104</v>
      </c>
      <c r="C710" s="4">
        <v>36</v>
      </c>
      <c r="D710" s="8">
        <v>1.74</v>
      </c>
      <c r="E710" s="4">
        <v>0</v>
      </c>
      <c r="F710" s="8">
        <v>0</v>
      </c>
      <c r="G710" s="4">
        <v>36</v>
      </c>
      <c r="H710" s="8">
        <v>2.34</v>
      </c>
      <c r="I710" s="4">
        <v>0</v>
      </c>
    </row>
    <row r="711" spans="1:9" x14ac:dyDescent="0.2">
      <c r="A711" s="2">
        <v>20</v>
      </c>
      <c r="B711" s="1" t="s">
        <v>88</v>
      </c>
      <c r="C711" s="4">
        <v>32</v>
      </c>
      <c r="D711" s="8">
        <v>1.55</v>
      </c>
      <c r="E711" s="4">
        <v>0</v>
      </c>
      <c r="F711" s="8">
        <v>0</v>
      </c>
      <c r="G711" s="4">
        <v>32</v>
      </c>
      <c r="H711" s="8">
        <v>2.08</v>
      </c>
      <c r="I711" s="4">
        <v>0</v>
      </c>
    </row>
    <row r="712" spans="1:9" x14ac:dyDescent="0.2">
      <c r="A712" s="1"/>
      <c r="C712" s="4"/>
      <c r="D712" s="8"/>
      <c r="E712" s="4"/>
      <c r="F712" s="8"/>
      <c r="G712" s="4"/>
      <c r="H712" s="8"/>
      <c r="I712" s="4"/>
    </row>
    <row r="713" spans="1:9" x14ac:dyDescent="0.2">
      <c r="A713" s="1" t="s">
        <v>32</v>
      </c>
      <c r="C713" s="4"/>
      <c r="D713" s="8"/>
      <c r="E713" s="4"/>
      <c r="F713" s="8"/>
      <c r="G713" s="4"/>
      <c r="H713" s="8"/>
      <c r="I713" s="4"/>
    </row>
    <row r="714" spans="1:9" x14ac:dyDescent="0.2">
      <c r="A714" s="2">
        <v>1</v>
      </c>
      <c r="B714" s="1" t="s">
        <v>98</v>
      </c>
      <c r="C714" s="4">
        <v>146</v>
      </c>
      <c r="D714" s="8">
        <v>10.81</v>
      </c>
      <c r="E714" s="4">
        <v>115</v>
      </c>
      <c r="F714" s="8">
        <v>24.31</v>
      </c>
      <c r="G714" s="4">
        <v>31</v>
      </c>
      <c r="H714" s="8">
        <v>3.54</v>
      </c>
      <c r="I714" s="4">
        <v>0</v>
      </c>
    </row>
    <row r="715" spans="1:9" x14ac:dyDescent="0.2">
      <c r="A715" s="2">
        <v>2</v>
      </c>
      <c r="B715" s="1" t="s">
        <v>97</v>
      </c>
      <c r="C715" s="4">
        <v>98</v>
      </c>
      <c r="D715" s="8">
        <v>7.25</v>
      </c>
      <c r="E715" s="4">
        <v>76</v>
      </c>
      <c r="F715" s="8">
        <v>16.07</v>
      </c>
      <c r="G715" s="4">
        <v>22</v>
      </c>
      <c r="H715" s="8">
        <v>2.5099999999999998</v>
      </c>
      <c r="I715" s="4">
        <v>0</v>
      </c>
    </row>
    <row r="716" spans="1:9" x14ac:dyDescent="0.2">
      <c r="A716" s="2">
        <v>3</v>
      </c>
      <c r="B716" s="1" t="s">
        <v>94</v>
      </c>
      <c r="C716" s="4">
        <v>92</v>
      </c>
      <c r="D716" s="8">
        <v>6.81</v>
      </c>
      <c r="E716" s="4">
        <v>13</v>
      </c>
      <c r="F716" s="8">
        <v>2.75</v>
      </c>
      <c r="G716" s="4">
        <v>79</v>
      </c>
      <c r="H716" s="8">
        <v>9.02</v>
      </c>
      <c r="I716" s="4">
        <v>0</v>
      </c>
    </row>
    <row r="717" spans="1:9" x14ac:dyDescent="0.2">
      <c r="A717" s="2">
        <v>4</v>
      </c>
      <c r="B717" s="1" t="s">
        <v>84</v>
      </c>
      <c r="C717" s="4">
        <v>85</v>
      </c>
      <c r="D717" s="8">
        <v>6.29</v>
      </c>
      <c r="E717" s="4">
        <v>6</v>
      </c>
      <c r="F717" s="8">
        <v>1.27</v>
      </c>
      <c r="G717" s="4">
        <v>79</v>
      </c>
      <c r="H717" s="8">
        <v>9.02</v>
      </c>
      <c r="I717" s="4">
        <v>0</v>
      </c>
    </row>
    <row r="718" spans="1:9" x14ac:dyDescent="0.2">
      <c r="A718" s="2">
        <v>5</v>
      </c>
      <c r="B718" s="1" t="s">
        <v>86</v>
      </c>
      <c r="C718" s="4">
        <v>78</v>
      </c>
      <c r="D718" s="8">
        <v>5.77</v>
      </c>
      <c r="E718" s="4">
        <v>2</v>
      </c>
      <c r="F718" s="8">
        <v>0.42</v>
      </c>
      <c r="G718" s="4">
        <v>76</v>
      </c>
      <c r="H718" s="8">
        <v>8.68</v>
      </c>
      <c r="I718" s="4">
        <v>0</v>
      </c>
    </row>
    <row r="719" spans="1:9" x14ac:dyDescent="0.2">
      <c r="A719" s="2">
        <v>6</v>
      </c>
      <c r="B719" s="1" t="s">
        <v>100</v>
      </c>
      <c r="C719" s="4">
        <v>71</v>
      </c>
      <c r="D719" s="8">
        <v>5.26</v>
      </c>
      <c r="E719" s="4">
        <v>48</v>
      </c>
      <c r="F719" s="8">
        <v>10.15</v>
      </c>
      <c r="G719" s="4">
        <v>23</v>
      </c>
      <c r="H719" s="8">
        <v>2.63</v>
      </c>
      <c r="I719" s="4">
        <v>0</v>
      </c>
    </row>
    <row r="720" spans="1:9" x14ac:dyDescent="0.2">
      <c r="A720" s="2">
        <v>7</v>
      </c>
      <c r="B720" s="1" t="s">
        <v>85</v>
      </c>
      <c r="C720" s="4">
        <v>68</v>
      </c>
      <c r="D720" s="8">
        <v>5.03</v>
      </c>
      <c r="E720" s="4">
        <v>12</v>
      </c>
      <c r="F720" s="8">
        <v>2.54</v>
      </c>
      <c r="G720" s="4">
        <v>56</v>
      </c>
      <c r="H720" s="8">
        <v>6.39</v>
      </c>
      <c r="I720" s="4">
        <v>0</v>
      </c>
    </row>
    <row r="721" spans="1:9" x14ac:dyDescent="0.2">
      <c r="A721" s="2">
        <v>7</v>
      </c>
      <c r="B721" s="1" t="s">
        <v>88</v>
      </c>
      <c r="C721" s="4">
        <v>68</v>
      </c>
      <c r="D721" s="8">
        <v>5.03</v>
      </c>
      <c r="E721" s="4">
        <v>5</v>
      </c>
      <c r="F721" s="8">
        <v>1.06</v>
      </c>
      <c r="G721" s="4">
        <v>63</v>
      </c>
      <c r="H721" s="8">
        <v>7.19</v>
      </c>
      <c r="I721" s="4">
        <v>0</v>
      </c>
    </row>
    <row r="722" spans="1:9" x14ac:dyDescent="0.2">
      <c r="A722" s="2">
        <v>9</v>
      </c>
      <c r="B722" s="1" t="s">
        <v>92</v>
      </c>
      <c r="C722" s="4">
        <v>67</v>
      </c>
      <c r="D722" s="8">
        <v>4.96</v>
      </c>
      <c r="E722" s="4">
        <v>26</v>
      </c>
      <c r="F722" s="8">
        <v>5.5</v>
      </c>
      <c r="G722" s="4">
        <v>41</v>
      </c>
      <c r="H722" s="8">
        <v>4.68</v>
      </c>
      <c r="I722" s="4">
        <v>0</v>
      </c>
    </row>
    <row r="723" spans="1:9" x14ac:dyDescent="0.2">
      <c r="A723" s="2">
        <v>10</v>
      </c>
      <c r="B723" s="1" t="s">
        <v>91</v>
      </c>
      <c r="C723" s="4">
        <v>56</v>
      </c>
      <c r="D723" s="8">
        <v>4.1500000000000004</v>
      </c>
      <c r="E723" s="4">
        <v>16</v>
      </c>
      <c r="F723" s="8">
        <v>3.38</v>
      </c>
      <c r="G723" s="4">
        <v>40</v>
      </c>
      <c r="H723" s="8">
        <v>4.57</v>
      </c>
      <c r="I723" s="4">
        <v>0</v>
      </c>
    </row>
    <row r="724" spans="1:9" x14ac:dyDescent="0.2">
      <c r="A724" s="2">
        <v>11</v>
      </c>
      <c r="B724" s="1" t="s">
        <v>101</v>
      </c>
      <c r="C724" s="4">
        <v>54</v>
      </c>
      <c r="D724" s="8">
        <v>4</v>
      </c>
      <c r="E724" s="4">
        <v>47</v>
      </c>
      <c r="F724" s="8">
        <v>9.94</v>
      </c>
      <c r="G724" s="4">
        <v>7</v>
      </c>
      <c r="H724" s="8">
        <v>0.8</v>
      </c>
      <c r="I724" s="4">
        <v>0</v>
      </c>
    </row>
    <row r="725" spans="1:9" x14ac:dyDescent="0.2">
      <c r="A725" s="2">
        <v>12</v>
      </c>
      <c r="B725" s="1" t="s">
        <v>90</v>
      </c>
      <c r="C725" s="4">
        <v>51</v>
      </c>
      <c r="D725" s="8">
        <v>3.77</v>
      </c>
      <c r="E725" s="4">
        <v>28</v>
      </c>
      <c r="F725" s="8">
        <v>5.92</v>
      </c>
      <c r="G725" s="4">
        <v>23</v>
      </c>
      <c r="H725" s="8">
        <v>2.63</v>
      </c>
      <c r="I725" s="4">
        <v>0</v>
      </c>
    </row>
    <row r="726" spans="1:9" x14ac:dyDescent="0.2">
      <c r="A726" s="2">
        <v>13</v>
      </c>
      <c r="B726" s="1" t="s">
        <v>96</v>
      </c>
      <c r="C726" s="4">
        <v>36</v>
      </c>
      <c r="D726" s="8">
        <v>2.66</v>
      </c>
      <c r="E726" s="4">
        <v>8</v>
      </c>
      <c r="F726" s="8">
        <v>1.69</v>
      </c>
      <c r="G726" s="4">
        <v>28</v>
      </c>
      <c r="H726" s="8">
        <v>3.2</v>
      </c>
      <c r="I726" s="4">
        <v>0</v>
      </c>
    </row>
    <row r="727" spans="1:9" x14ac:dyDescent="0.2">
      <c r="A727" s="2">
        <v>14</v>
      </c>
      <c r="B727" s="1" t="s">
        <v>95</v>
      </c>
      <c r="C727" s="4">
        <v>33</v>
      </c>
      <c r="D727" s="8">
        <v>2.44</v>
      </c>
      <c r="E727" s="4">
        <v>16</v>
      </c>
      <c r="F727" s="8">
        <v>3.38</v>
      </c>
      <c r="G727" s="4">
        <v>17</v>
      </c>
      <c r="H727" s="8">
        <v>1.94</v>
      </c>
      <c r="I727" s="4">
        <v>0</v>
      </c>
    </row>
    <row r="728" spans="1:9" x14ac:dyDescent="0.2">
      <c r="A728" s="2">
        <v>15</v>
      </c>
      <c r="B728" s="1" t="s">
        <v>103</v>
      </c>
      <c r="C728" s="4">
        <v>29</v>
      </c>
      <c r="D728" s="8">
        <v>2.15</v>
      </c>
      <c r="E728" s="4">
        <v>14</v>
      </c>
      <c r="F728" s="8">
        <v>2.96</v>
      </c>
      <c r="G728" s="4">
        <v>15</v>
      </c>
      <c r="H728" s="8">
        <v>1.71</v>
      </c>
      <c r="I728" s="4">
        <v>0</v>
      </c>
    </row>
    <row r="729" spans="1:9" x14ac:dyDescent="0.2">
      <c r="A729" s="2">
        <v>16</v>
      </c>
      <c r="B729" s="1" t="s">
        <v>87</v>
      </c>
      <c r="C729" s="4">
        <v>28</v>
      </c>
      <c r="D729" s="8">
        <v>2.0699999999999998</v>
      </c>
      <c r="E729" s="4">
        <v>3</v>
      </c>
      <c r="F729" s="8">
        <v>0.63</v>
      </c>
      <c r="G729" s="4">
        <v>25</v>
      </c>
      <c r="H729" s="8">
        <v>2.85</v>
      </c>
      <c r="I729" s="4">
        <v>0</v>
      </c>
    </row>
    <row r="730" spans="1:9" x14ac:dyDescent="0.2">
      <c r="A730" s="2">
        <v>17</v>
      </c>
      <c r="B730" s="1" t="s">
        <v>99</v>
      </c>
      <c r="C730" s="4">
        <v>27</v>
      </c>
      <c r="D730" s="8">
        <v>2</v>
      </c>
      <c r="E730" s="4">
        <v>11</v>
      </c>
      <c r="F730" s="8">
        <v>2.33</v>
      </c>
      <c r="G730" s="4">
        <v>16</v>
      </c>
      <c r="H730" s="8">
        <v>1.83</v>
      </c>
      <c r="I730" s="4">
        <v>0</v>
      </c>
    </row>
    <row r="731" spans="1:9" x14ac:dyDescent="0.2">
      <c r="A731" s="2">
        <v>18</v>
      </c>
      <c r="B731" s="1" t="s">
        <v>102</v>
      </c>
      <c r="C731" s="4">
        <v>21</v>
      </c>
      <c r="D731" s="8">
        <v>1.55</v>
      </c>
      <c r="E731" s="4">
        <v>0</v>
      </c>
      <c r="F731" s="8">
        <v>0</v>
      </c>
      <c r="G731" s="4">
        <v>21</v>
      </c>
      <c r="H731" s="8">
        <v>2.4</v>
      </c>
      <c r="I731" s="4">
        <v>0</v>
      </c>
    </row>
    <row r="732" spans="1:9" x14ac:dyDescent="0.2">
      <c r="A732" s="2">
        <v>19</v>
      </c>
      <c r="B732" s="1" t="s">
        <v>120</v>
      </c>
      <c r="C732" s="4">
        <v>19</v>
      </c>
      <c r="D732" s="8">
        <v>1.41</v>
      </c>
      <c r="E732" s="4">
        <v>0</v>
      </c>
      <c r="F732" s="8">
        <v>0</v>
      </c>
      <c r="G732" s="4">
        <v>19</v>
      </c>
      <c r="H732" s="8">
        <v>2.17</v>
      </c>
      <c r="I732" s="4">
        <v>0</v>
      </c>
    </row>
    <row r="733" spans="1:9" x14ac:dyDescent="0.2">
      <c r="A733" s="2">
        <v>20</v>
      </c>
      <c r="B733" s="1" t="s">
        <v>93</v>
      </c>
      <c r="C733" s="4">
        <v>18</v>
      </c>
      <c r="D733" s="8">
        <v>1.33</v>
      </c>
      <c r="E733" s="4">
        <v>0</v>
      </c>
      <c r="F733" s="8">
        <v>0</v>
      </c>
      <c r="G733" s="4">
        <v>18</v>
      </c>
      <c r="H733" s="8">
        <v>2.0499999999999998</v>
      </c>
      <c r="I733" s="4">
        <v>0</v>
      </c>
    </row>
    <row r="734" spans="1:9" x14ac:dyDescent="0.2">
      <c r="A734" s="1"/>
      <c r="C734" s="4"/>
      <c r="D734" s="8"/>
      <c r="E734" s="4"/>
      <c r="F734" s="8"/>
      <c r="G734" s="4"/>
      <c r="H734" s="8"/>
      <c r="I734" s="4"/>
    </row>
    <row r="735" spans="1:9" x14ac:dyDescent="0.2">
      <c r="A735" s="1" t="s">
        <v>33</v>
      </c>
      <c r="C735" s="4"/>
      <c r="D735" s="8"/>
      <c r="E735" s="4"/>
      <c r="F735" s="8"/>
      <c r="G735" s="4"/>
      <c r="H735" s="8"/>
      <c r="I735" s="4"/>
    </row>
    <row r="736" spans="1:9" x14ac:dyDescent="0.2">
      <c r="A736" s="2">
        <v>1</v>
      </c>
      <c r="B736" s="1" t="s">
        <v>98</v>
      </c>
      <c r="C736" s="4">
        <v>113</v>
      </c>
      <c r="D736" s="8">
        <v>10.58</v>
      </c>
      <c r="E736" s="4">
        <v>99</v>
      </c>
      <c r="F736" s="8">
        <v>23.97</v>
      </c>
      <c r="G736" s="4">
        <v>14</v>
      </c>
      <c r="H736" s="8">
        <v>2.16</v>
      </c>
      <c r="I736" s="4">
        <v>0</v>
      </c>
    </row>
    <row r="737" spans="1:9" x14ac:dyDescent="0.2">
      <c r="A737" s="2">
        <v>2</v>
      </c>
      <c r="B737" s="1" t="s">
        <v>97</v>
      </c>
      <c r="C737" s="4">
        <v>100</v>
      </c>
      <c r="D737" s="8">
        <v>9.36</v>
      </c>
      <c r="E737" s="4">
        <v>85</v>
      </c>
      <c r="F737" s="8">
        <v>20.58</v>
      </c>
      <c r="G737" s="4">
        <v>15</v>
      </c>
      <c r="H737" s="8">
        <v>2.31</v>
      </c>
      <c r="I737" s="4">
        <v>0</v>
      </c>
    </row>
    <row r="738" spans="1:9" x14ac:dyDescent="0.2">
      <c r="A738" s="2">
        <v>3</v>
      </c>
      <c r="B738" s="1" t="s">
        <v>86</v>
      </c>
      <c r="C738" s="4">
        <v>89</v>
      </c>
      <c r="D738" s="8">
        <v>8.33</v>
      </c>
      <c r="E738" s="4">
        <v>6</v>
      </c>
      <c r="F738" s="8">
        <v>1.45</v>
      </c>
      <c r="G738" s="4">
        <v>83</v>
      </c>
      <c r="H738" s="8">
        <v>12.79</v>
      </c>
      <c r="I738" s="4">
        <v>0</v>
      </c>
    </row>
    <row r="739" spans="1:9" x14ac:dyDescent="0.2">
      <c r="A739" s="2">
        <v>4</v>
      </c>
      <c r="B739" s="1" t="s">
        <v>85</v>
      </c>
      <c r="C739" s="4">
        <v>81</v>
      </c>
      <c r="D739" s="8">
        <v>7.58</v>
      </c>
      <c r="E739" s="4">
        <v>15</v>
      </c>
      <c r="F739" s="8">
        <v>3.63</v>
      </c>
      <c r="G739" s="4">
        <v>66</v>
      </c>
      <c r="H739" s="8">
        <v>10.17</v>
      </c>
      <c r="I739" s="4">
        <v>0</v>
      </c>
    </row>
    <row r="740" spans="1:9" x14ac:dyDescent="0.2">
      <c r="A740" s="2">
        <v>5</v>
      </c>
      <c r="B740" s="1" t="s">
        <v>84</v>
      </c>
      <c r="C740" s="4">
        <v>80</v>
      </c>
      <c r="D740" s="8">
        <v>7.49</v>
      </c>
      <c r="E740" s="4">
        <v>15</v>
      </c>
      <c r="F740" s="8">
        <v>3.63</v>
      </c>
      <c r="G740" s="4">
        <v>65</v>
      </c>
      <c r="H740" s="8">
        <v>10.02</v>
      </c>
      <c r="I740" s="4">
        <v>0</v>
      </c>
    </row>
    <row r="741" spans="1:9" x14ac:dyDescent="0.2">
      <c r="A741" s="2">
        <v>6</v>
      </c>
      <c r="B741" s="1" t="s">
        <v>94</v>
      </c>
      <c r="C741" s="4">
        <v>71</v>
      </c>
      <c r="D741" s="8">
        <v>6.65</v>
      </c>
      <c r="E741" s="4">
        <v>28</v>
      </c>
      <c r="F741" s="8">
        <v>6.78</v>
      </c>
      <c r="G741" s="4">
        <v>42</v>
      </c>
      <c r="H741" s="8">
        <v>6.47</v>
      </c>
      <c r="I741" s="4">
        <v>0</v>
      </c>
    </row>
    <row r="742" spans="1:9" x14ac:dyDescent="0.2">
      <c r="A742" s="2">
        <v>7</v>
      </c>
      <c r="B742" s="1" t="s">
        <v>92</v>
      </c>
      <c r="C742" s="4">
        <v>58</v>
      </c>
      <c r="D742" s="8">
        <v>5.43</v>
      </c>
      <c r="E742" s="4">
        <v>24</v>
      </c>
      <c r="F742" s="8">
        <v>5.81</v>
      </c>
      <c r="G742" s="4">
        <v>34</v>
      </c>
      <c r="H742" s="8">
        <v>5.24</v>
      </c>
      <c r="I742" s="4">
        <v>0</v>
      </c>
    </row>
    <row r="743" spans="1:9" x14ac:dyDescent="0.2">
      <c r="A743" s="2">
        <v>8</v>
      </c>
      <c r="B743" s="1" t="s">
        <v>102</v>
      </c>
      <c r="C743" s="4">
        <v>42</v>
      </c>
      <c r="D743" s="8">
        <v>3.93</v>
      </c>
      <c r="E743" s="4">
        <v>0</v>
      </c>
      <c r="F743" s="8">
        <v>0</v>
      </c>
      <c r="G743" s="4">
        <v>42</v>
      </c>
      <c r="H743" s="8">
        <v>6.47</v>
      </c>
      <c r="I743" s="4">
        <v>0</v>
      </c>
    </row>
    <row r="744" spans="1:9" x14ac:dyDescent="0.2">
      <c r="A744" s="2">
        <v>9</v>
      </c>
      <c r="B744" s="1" t="s">
        <v>91</v>
      </c>
      <c r="C744" s="4">
        <v>39</v>
      </c>
      <c r="D744" s="8">
        <v>3.65</v>
      </c>
      <c r="E744" s="4">
        <v>21</v>
      </c>
      <c r="F744" s="8">
        <v>5.08</v>
      </c>
      <c r="G744" s="4">
        <v>18</v>
      </c>
      <c r="H744" s="8">
        <v>2.77</v>
      </c>
      <c r="I744" s="4">
        <v>0</v>
      </c>
    </row>
    <row r="745" spans="1:9" x14ac:dyDescent="0.2">
      <c r="A745" s="2">
        <v>10</v>
      </c>
      <c r="B745" s="1" t="s">
        <v>100</v>
      </c>
      <c r="C745" s="4">
        <v>30</v>
      </c>
      <c r="D745" s="8">
        <v>2.81</v>
      </c>
      <c r="E745" s="4">
        <v>15</v>
      </c>
      <c r="F745" s="8">
        <v>3.63</v>
      </c>
      <c r="G745" s="4">
        <v>11</v>
      </c>
      <c r="H745" s="8">
        <v>1.69</v>
      </c>
      <c r="I745" s="4">
        <v>0</v>
      </c>
    </row>
    <row r="746" spans="1:9" x14ac:dyDescent="0.2">
      <c r="A746" s="2">
        <v>11</v>
      </c>
      <c r="B746" s="1" t="s">
        <v>90</v>
      </c>
      <c r="C746" s="4">
        <v>29</v>
      </c>
      <c r="D746" s="8">
        <v>2.72</v>
      </c>
      <c r="E746" s="4">
        <v>20</v>
      </c>
      <c r="F746" s="8">
        <v>4.84</v>
      </c>
      <c r="G746" s="4">
        <v>9</v>
      </c>
      <c r="H746" s="8">
        <v>1.39</v>
      </c>
      <c r="I746" s="4">
        <v>0</v>
      </c>
    </row>
    <row r="747" spans="1:9" x14ac:dyDescent="0.2">
      <c r="A747" s="2">
        <v>12</v>
      </c>
      <c r="B747" s="1" t="s">
        <v>96</v>
      </c>
      <c r="C747" s="4">
        <v>27</v>
      </c>
      <c r="D747" s="8">
        <v>2.5299999999999998</v>
      </c>
      <c r="E747" s="4">
        <v>6</v>
      </c>
      <c r="F747" s="8">
        <v>1.45</v>
      </c>
      <c r="G747" s="4">
        <v>21</v>
      </c>
      <c r="H747" s="8">
        <v>3.24</v>
      </c>
      <c r="I747" s="4">
        <v>0</v>
      </c>
    </row>
    <row r="748" spans="1:9" x14ac:dyDescent="0.2">
      <c r="A748" s="2">
        <v>12</v>
      </c>
      <c r="B748" s="1" t="s">
        <v>101</v>
      </c>
      <c r="C748" s="4">
        <v>27</v>
      </c>
      <c r="D748" s="8">
        <v>2.5299999999999998</v>
      </c>
      <c r="E748" s="4">
        <v>25</v>
      </c>
      <c r="F748" s="8">
        <v>6.05</v>
      </c>
      <c r="G748" s="4">
        <v>2</v>
      </c>
      <c r="H748" s="8">
        <v>0.31</v>
      </c>
      <c r="I748" s="4">
        <v>0</v>
      </c>
    </row>
    <row r="749" spans="1:9" x14ac:dyDescent="0.2">
      <c r="A749" s="2">
        <v>14</v>
      </c>
      <c r="B749" s="1" t="s">
        <v>95</v>
      </c>
      <c r="C749" s="4">
        <v>23</v>
      </c>
      <c r="D749" s="8">
        <v>2.15</v>
      </c>
      <c r="E749" s="4">
        <v>13</v>
      </c>
      <c r="F749" s="8">
        <v>3.15</v>
      </c>
      <c r="G749" s="4">
        <v>10</v>
      </c>
      <c r="H749" s="8">
        <v>1.54</v>
      </c>
      <c r="I749" s="4">
        <v>0</v>
      </c>
    </row>
    <row r="750" spans="1:9" x14ac:dyDescent="0.2">
      <c r="A750" s="2">
        <v>15</v>
      </c>
      <c r="B750" s="1" t="s">
        <v>103</v>
      </c>
      <c r="C750" s="4">
        <v>22</v>
      </c>
      <c r="D750" s="8">
        <v>2.06</v>
      </c>
      <c r="E750" s="4">
        <v>12</v>
      </c>
      <c r="F750" s="8">
        <v>2.91</v>
      </c>
      <c r="G750" s="4">
        <v>10</v>
      </c>
      <c r="H750" s="8">
        <v>1.54</v>
      </c>
      <c r="I750" s="4">
        <v>0</v>
      </c>
    </row>
    <row r="751" spans="1:9" x14ac:dyDescent="0.2">
      <c r="A751" s="2">
        <v>16</v>
      </c>
      <c r="B751" s="1" t="s">
        <v>105</v>
      </c>
      <c r="C751" s="4">
        <v>16</v>
      </c>
      <c r="D751" s="8">
        <v>1.5</v>
      </c>
      <c r="E751" s="4">
        <v>1</v>
      </c>
      <c r="F751" s="8">
        <v>0.24</v>
      </c>
      <c r="G751" s="4">
        <v>15</v>
      </c>
      <c r="H751" s="8">
        <v>2.31</v>
      </c>
      <c r="I751" s="4">
        <v>0</v>
      </c>
    </row>
    <row r="752" spans="1:9" x14ac:dyDescent="0.2">
      <c r="A752" s="2">
        <v>17</v>
      </c>
      <c r="B752" s="1" t="s">
        <v>93</v>
      </c>
      <c r="C752" s="4">
        <v>15</v>
      </c>
      <c r="D752" s="8">
        <v>1.4</v>
      </c>
      <c r="E752" s="4">
        <v>0</v>
      </c>
      <c r="F752" s="8">
        <v>0</v>
      </c>
      <c r="G752" s="4">
        <v>15</v>
      </c>
      <c r="H752" s="8">
        <v>2.31</v>
      </c>
      <c r="I752" s="4">
        <v>0</v>
      </c>
    </row>
    <row r="753" spans="1:9" x14ac:dyDescent="0.2">
      <c r="A753" s="2">
        <v>18</v>
      </c>
      <c r="B753" s="1" t="s">
        <v>106</v>
      </c>
      <c r="C753" s="4">
        <v>12</v>
      </c>
      <c r="D753" s="8">
        <v>1.1200000000000001</v>
      </c>
      <c r="E753" s="4">
        <v>3</v>
      </c>
      <c r="F753" s="8">
        <v>0.73</v>
      </c>
      <c r="G753" s="4">
        <v>9</v>
      </c>
      <c r="H753" s="8">
        <v>1.39</v>
      </c>
      <c r="I753" s="4">
        <v>0</v>
      </c>
    </row>
    <row r="754" spans="1:9" x14ac:dyDescent="0.2">
      <c r="A754" s="2">
        <v>19</v>
      </c>
      <c r="B754" s="1" t="s">
        <v>121</v>
      </c>
      <c r="C754" s="4">
        <v>11</v>
      </c>
      <c r="D754" s="8">
        <v>1.03</v>
      </c>
      <c r="E754" s="4">
        <v>0</v>
      </c>
      <c r="F754" s="8">
        <v>0</v>
      </c>
      <c r="G754" s="4">
        <v>11</v>
      </c>
      <c r="H754" s="8">
        <v>1.69</v>
      </c>
      <c r="I754" s="4">
        <v>0</v>
      </c>
    </row>
    <row r="755" spans="1:9" x14ac:dyDescent="0.2">
      <c r="A755" s="2">
        <v>19</v>
      </c>
      <c r="B755" s="1" t="s">
        <v>87</v>
      </c>
      <c r="C755" s="4">
        <v>11</v>
      </c>
      <c r="D755" s="8">
        <v>1.03</v>
      </c>
      <c r="E755" s="4">
        <v>1</v>
      </c>
      <c r="F755" s="8">
        <v>0.24</v>
      </c>
      <c r="G755" s="4">
        <v>10</v>
      </c>
      <c r="H755" s="8">
        <v>1.54</v>
      </c>
      <c r="I755" s="4">
        <v>0</v>
      </c>
    </row>
    <row r="756" spans="1:9" x14ac:dyDescent="0.2">
      <c r="A756" s="1"/>
      <c r="C756" s="4"/>
      <c r="D756" s="8"/>
      <c r="E756" s="4"/>
      <c r="F756" s="8"/>
      <c r="G756" s="4"/>
      <c r="H756" s="8"/>
      <c r="I756" s="4"/>
    </row>
    <row r="757" spans="1:9" x14ac:dyDescent="0.2">
      <c r="A757" s="1" t="s">
        <v>34</v>
      </c>
      <c r="C757" s="4"/>
      <c r="D757" s="8"/>
      <c r="E757" s="4"/>
      <c r="F757" s="8"/>
      <c r="G757" s="4"/>
      <c r="H757" s="8"/>
      <c r="I757" s="4"/>
    </row>
    <row r="758" spans="1:9" x14ac:dyDescent="0.2">
      <c r="A758" s="2">
        <v>1</v>
      </c>
      <c r="B758" s="1" t="s">
        <v>98</v>
      </c>
      <c r="C758" s="4">
        <v>143</v>
      </c>
      <c r="D758" s="8">
        <v>9.92</v>
      </c>
      <c r="E758" s="4">
        <v>122</v>
      </c>
      <c r="F758" s="8">
        <v>19.3</v>
      </c>
      <c r="G758" s="4">
        <v>21</v>
      </c>
      <c r="H758" s="8">
        <v>2.61</v>
      </c>
      <c r="I758" s="4">
        <v>0</v>
      </c>
    </row>
    <row r="759" spans="1:9" x14ac:dyDescent="0.2">
      <c r="A759" s="2">
        <v>2</v>
      </c>
      <c r="B759" s="1" t="s">
        <v>85</v>
      </c>
      <c r="C759" s="4">
        <v>124</v>
      </c>
      <c r="D759" s="8">
        <v>8.6</v>
      </c>
      <c r="E759" s="4">
        <v>48</v>
      </c>
      <c r="F759" s="8">
        <v>7.59</v>
      </c>
      <c r="G759" s="4">
        <v>76</v>
      </c>
      <c r="H759" s="8">
        <v>9.44</v>
      </c>
      <c r="I759" s="4">
        <v>0</v>
      </c>
    </row>
    <row r="760" spans="1:9" x14ac:dyDescent="0.2">
      <c r="A760" s="2">
        <v>3</v>
      </c>
      <c r="B760" s="1" t="s">
        <v>84</v>
      </c>
      <c r="C760" s="4">
        <v>118</v>
      </c>
      <c r="D760" s="8">
        <v>8.18</v>
      </c>
      <c r="E760" s="4">
        <v>31</v>
      </c>
      <c r="F760" s="8">
        <v>4.91</v>
      </c>
      <c r="G760" s="4">
        <v>87</v>
      </c>
      <c r="H760" s="8">
        <v>10.81</v>
      </c>
      <c r="I760" s="4">
        <v>0</v>
      </c>
    </row>
    <row r="761" spans="1:9" x14ac:dyDescent="0.2">
      <c r="A761" s="2">
        <v>4</v>
      </c>
      <c r="B761" s="1" t="s">
        <v>97</v>
      </c>
      <c r="C761" s="4">
        <v>116</v>
      </c>
      <c r="D761" s="8">
        <v>8.0399999999999991</v>
      </c>
      <c r="E761" s="4">
        <v>99</v>
      </c>
      <c r="F761" s="8">
        <v>15.66</v>
      </c>
      <c r="G761" s="4">
        <v>17</v>
      </c>
      <c r="H761" s="8">
        <v>2.11</v>
      </c>
      <c r="I761" s="4">
        <v>0</v>
      </c>
    </row>
    <row r="762" spans="1:9" x14ac:dyDescent="0.2">
      <c r="A762" s="2">
        <v>5</v>
      </c>
      <c r="B762" s="1" t="s">
        <v>86</v>
      </c>
      <c r="C762" s="4">
        <v>88</v>
      </c>
      <c r="D762" s="8">
        <v>6.1</v>
      </c>
      <c r="E762" s="4">
        <v>10</v>
      </c>
      <c r="F762" s="8">
        <v>1.58</v>
      </c>
      <c r="G762" s="4">
        <v>78</v>
      </c>
      <c r="H762" s="8">
        <v>9.69</v>
      </c>
      <c r="I762" s="4">
        <v>0</v>
      </c>
    </row>
    <row r="763" spans="1:9" x14ac:dyDescent="0.2">
      <c r="A763" s="2">
        <v>6</v>
      </c>
      <c r="B763" s="1" t="s">
        <v>94</v>
      </c>
      <c r="C763" s="4">
        <v>64</v>
      </c>
      <c r="D763" s="8">
        <v>4.4400000000000004</v>
      </c>
      <c r="E763" s="4">
        <v>31</v>
      </c>
      <c r="F763" s="8">
        <v>4.91</v>
      </c>
      <c r="G763" s="4">
        <v>32</v>
      </c>
      <c r="H763" s="8">
        <v>3.98</v>
      </c>
      <c r="I763" s="4">
        <v>0</v>
      </c>
    </row>
    <row r="764" spans="1:9" x14ac:dyDescent="0.2">
      <c r="A764" s="2">
        <v>7</v>
      </c>
      <c r="B764" s="1" t="s">
        <v>92</v>
      </c>
      <c r="C764" s="4">
        <v>62</v>
      </c>
      <c r="D764" s="8">
        <v>4.3</v>
      </c>
      <c r="E764" s="4">
        <v>30</v>
      </c>
      <c r="F764" s="8">
        <v>4.75</v>
      </c>
      <c r="G764" s="4">
        <v>32</v>
      </c>
      <c r="H764" s="8">
        <v>3.98</v>
      </c>
      <c r="I764" s="4">
        <v>0</v>
      </c>
    </row>
    <row r="765" spans="1:9" x14ac:dyDescent="0.2">
      <c r="A765" s="2">
        <v>8</v>
      </c>
      <c r="B765" s="1" t="s">
        <v>103</v>
      </c>
      <c r="C765" s="4">
        <v>56</v>
      </c>
      <c r="D765" s="8">
        <v>3.88</v>
      </c>
      <c r="E765" s="4">
        <v>38</v>
      </c>
      <c r="F765" s="8">
        <v>6.01</v>
      </c>
      <c r="G765" s="4">
        <v>18</v>
      </c>
      <c r="H765" s="8">
        <v>2.2400000000000002</v>
      </c>
      <c r="I765" s="4">
        <v>0</v>
      </c>
    </row>
    <row r="766" spans="1:9" x14ac:dyDescent="0.2">
      <c r="A766" s="2">
        <v>9</v>
      </c>
      <c r="B766" s="1" t="s">
        <v>91</v>
      </c>
      <c r="C766" s="4">
        <v>46</v>
      </c>
      <c r="D766" s="8">
        <v>3.19</v>
      </c>
      <c r="E766" s="4">
        <v>13</v>
      </c>
      <c r="F766" s="8">
        <v>2.06</v>
      </c>
      <c r="G766" s="4">
        <v>33</v>
      </c>
      <c r="H766" s="8">
        <v>4.0999999999999996</v>
      </c>
      <c r="I766" s="4">
        <v>0</v>
      </c>
    </row>
    <row r="767" spans="1:9" x14ac:dyDescent="0.2">
      <c r="A767" s="2">
        <v>10</v>
      </c>
      <c r="B767" s="1" t="s">
        <v>100</v>
      </c>
      <c r="C767" s="4">
        <v>45</v>
      </c>
      <c r="D767" s="8">
        <v>3.12</v>
      </c>
      <c r="E767" s="4">
        <v>29</v>
      </c>
      <c r="F767" s="8">
        <v>4.59</v>
      </c>
      <c r="G767" s="4">
        <v>14</v>
      </c>
      <c r="H767" s="8">
        <v>1.74</v>
      </c>
      <c r="I767" s="4">
        <v>0</v>
      </c>
    </row>
    <row r="768" spans="1:9" x14ac:dyDescent="0.2">
      <c r="A768" s="2">
        <v>11</v>
      </c>
      <c r="B768" s="1" t="s">
        <v>106</v>
      </c>
      <c r="C768" s="4">
        <v>40</v>
      </c>
      <c r="D768" s="8">
        <v>2.77</v>
      </c>
      <c r="E768" s="4">
        <v>7</v>
      </c>
      <c r="F768" s="8">
        <v>1.1100000000000001</v>
      </c>
      <c r="G768" s="4">
        <v>33</v>
      </c>
      <c r="H768" s="8">
        <v>4.0999999999999996</v>
      </c>
      <c r="I768" s="4">
        <v>0</v>
      </c>
    </row>
    <row r="769" spans="1:9" x14ac:dyDescent="0.2">
      <c r="A769" s="2">
        <v>11</v>
      </c>
      <c r="B769" s="1" t="s">
        <v>90</v>
      </c>
      <c r="C769" s="4">
        <v>40</v>
      </c>
      <c r="D769" s="8">
        <v>2.77</v>
      </c>
      <c r="E769" s="4">
        <v>22</v>
      </c>
      <c r="F769" s="8">
        <v>3.48</v>
      </c>
      <c r="G769" s="4">
        <v>17</v>
      </c>
      <c r="H769" s="8">
        <v>2.11</v>
      </c>
      <c r="I769" s="4">
        <v>1</v>
      </c>
    </row>
    <row r="770" spans="1:9" x14ac:dyDescent="0.2">
      <c r="A770" s="2">
        <v>13</v>
      </c>
      <c r="B770" s="1" t="s">
        <v>101</v>
      </c>
      <c r="C770" s="4">
        <v>36</v>
      </c>
      <c r="D770" s="8">
        <v>2.5</v>
      </c>
      <c r="E770" s="4">
        <v>34</v>
      </c>
      <c r="F770" s="8">
        <v>5.38</v>
      </c>
      <c r="G770" s="4">
        <v>2</v>
      </c>
      <c r="H770" s="8">
        <v>0.25</v>
      </c>
      <c r="I770" s="4">
        <v>0</v>
      </c>
    </row>
    <row r="771" spans="1:9" x14ac:dyDescent="0.2">
      <c r="A771" s="2">
        <v>14</v>
      </c>
      <c r="B771" s="1" t="s">
        <v>96</v>
      </c>
      <c r="C771" s="4">
        <v>31</v>
      </c>
      <c r="D771" s="8">
        <v>2.15</v>
      </c>
      <c r="E771" s="4">
        <v>12</v>
      </c>
      <c r="F771" s="8">
        <v>1.9</v>
      </c>
      <c r="G771" s="4">
        <v>19</v>
      </c>
      <c r="H771" s="8">
        <v>2.36</v>
      </c>
      <c r="I771" s="4">
        <v>0</v>
      </c>
    </row>
    <row r="772" spans="1:9" x14ac:dyDescent="0.2">
      <c r="A772" s="2">
        <v>15</v>
      </c>
      <c r="B772" s="1" t="s">
        <v>93</v>
      </c>
      <c r="C772" s="4">
        <v>28</v>
      </c>
      <c r="D772" s="8">
        <v>1.94</v>
      </c>
      <c r="E772" s="4">
        <v>2</v>
      </c>
      <c r="F772" s="8">
        <v>0.32</v>
      </c>
      <c r="G772" s="4">
        <v>26</v>
      </c>
      <c r="H772" s="8">
        <v>3.23</v>
      </c>
      <c r="I772" s="4">
        <v>0</v>
      </c>
    </row>
    <row r="773" spans="1:9" x14ac:dyDescent="0.2">
      <c r="A773" s="2">
        <v>16</v>
      </c>
      <c r="B773" s="1" t="s">
        <v>117</v>
      </c>
      <c r="C773" s="4">
        <v>26</v>
      </c>
      <c r="D773" s="8">
        <v>1.8</v>
      </c>
      <c r="E773" s="4">
        <v>4</v>
      </c>
      <c r="F773" s="8">
        <v>0.63</v>
      </c>
      <c r="G773" s="4">
        <v>22</v>
      </c>
      <c r="H773" s="8">
        <v>2.73</v>
      </c>
      <c r="I773" s="4">
        <v>0</v>
      </c>
    </row>
    <row r="774" spans="1:9" x14ac:dyDescent="0.2">
      <c r="A774" s="2">
        <v>17</v>
      </c>
      <c r="B774" s="1" t="s">
        <v>102</v>
      </c>
      <c r="C774" s="4">
        <v>25</v>
      </c>
      <c r="D774" s="8">
        <v>1.73</v>
      </c>
      <c r="E774" s="4">
        <v>0</v>
      </c>
      <c r="F774" s="8">
        <v>0</v>
      </c>
      <c r="G774" s="4">
        <v>25</v>
      </c>
      <c r="H774" s="8">
        <v>3.11</v>
      </c>
      <c r="I774" s="4">
        <v>0</v>
      </c>
    </row>
    <row r="775" spans="1:9" x14ac:dyDescent="0.2">
      <c r="A775" s="2">
        <v>18</v>
      </c>
      <c r="B775" s="1" t="s">
        <v>89</v>
      </c>
      <c r="C775" s="4">
        <v>23</v>
      </c>
      <c r="D775" s="8">
        <v>1.6</v>
      </c>
      <c r="E775" s="4">
        <v>11</v>
      </c>
      <c r="F775" s="8">
        <v>1.74</v>
      </c>
      <c r="G775" s="4">
        <v>12</v>
      </c>
      <c r="H775" s="8">
        <v>1.49</v>
      </c>
      <c r="I775" s="4">
        <v>0</v>
      </c>
    </row>
    <row r="776" spans="1:9" x14ac:dyDescent="0.2">
      <c r="A776" s="2">
        <v>19</v>
      </c>
      <c r="B776" s="1" t="s">
        <v>104</v>
      </c>
      <c r="C776" s="4">
        <v>22</v>
      </c>
      <c r="D776" s="8">
        <v>1.53</v>
      </c>
      <c r="E776" s="4">
        <v>3</v>
      </c>
      <c r="F776" s="8">
        <v>0.47</v>
      </c>
      <c r="G776" s="4">
        <v>19</v>
      </c>
      <c r="H776" s="8">
        <v>2.36</v>
      </c>
      <c r="I776" s="4">
        <v>0</v>
      </c>
    </row>
    <row r="777" spans="1:9" x14ac:dyDescent="0.2">
      <c r="A777" s="2">
        <v>20</v>
      </c>
      <c r="B777" s="1" t="s">
        <v>95</v>
      </c>
      <c r="C777" s="4">
        <v>21</v>
      </c>
      <c r="D777" s="8">
        <v>1.46</v>
      </c>
      <c r="E777" s="4">
        <v>16</v>
      </c>
      <c r="F777" s="8">
        <v>2.5299999999999998</v>
      </c>
      <c r="G777" s="4">
        <v>5</v>
      </c>
      <c r="H777" s="8">
        <v>0.62</v>
      </c>
      <c r="I777" s="4">
        <v>0</v>
      </c>
    </row>
    <row r="778" spans="1:9" x14ac:dyDescent="0.2">
      <c r="A778" s="1"/>
      <c r="C778" s="4"/>
      <c r="D778" s="8"/>
      <c r="E778" s="4"/>
      <c r="F778" s="8"/>
      <c r="G778" s="4"/>
      <c r="H778" s="8"/>
      <c r="I778" s="4"/>
    </row>
    <row r="779" spans="1:9" x14ac:dyDescent="0.2">
      <c r="A779" s="1" t="s">
        <v>35</v>
      </c>
      <c r="C779" s="4"/>
      <c r="D779" s="8"/>
      <c r="E779" s="4"/>
      <c r="F779" s="8"/>
      <c r="G779" s="4"/>
      <c r="H779" s="8"/>
      <c r="I779" s="4"/>
    </row>
    <row r="780" spans="1:9" x14ac:dyDescent="0.2">
      <c r="A780" s="2">
        <v>1</v>
      </c>
      <c r="B780" s="1" t="s">
        <v>98</v>
      </c>
      <c r="C780" s="4">
        <v>100</v>
      </c>
      <c r="D780" s="8">
        <v>8.16</v>
      </c>
      <c r="E780" s="4">
        <v>78</v>
      </c>
      <c r="F780" s="8">
        <v>16.600000000000001</v>
      </c>
      <c r="G780" s="4">
        <v>22</v>
      </c>
      <c r="H780" s="8">
        <v>2.97</v>
      </c>
      <c r="I780" s="4">
        <v>0</v>
      </c>
    </row>
    <row r="781" spans="1:9" x14ac:dyDescent="0.2">
      <c r="A781" s="2">
        <v>2</v>
      </c>
      <c r="B781" s="1" t="s">
        <v>84</v>
      </c>
      <c r="C781" s="4">
        <v>99</v>
      </c>
      <c r="D781" s="8">
        <v>8.08</v>
      </c>
      <c r="E781" s="4">
        <v>33</v>
      </c>
      <c r="F781" s="8">
        <v>7.02</v>
      </c>
      <c r="G781" s="4">
        <v>66</v>
      </c>
      <c r="H781" s="8">
        <v>8.91</v>
      </c>
      <c r="I781" s="4">
        <v>0</v>
      </c>
    </row>
    <row r="782" spans="1:9" x14ac:dyDescent="0.2">
      <c r="A782" s="2">
        <v>3</v>
      </c>
      <c r="B782" s="1" t="s">
        <v>92</v>
      </c>
      <c r="C782" s="4">
        <v>86</v>
      </c>
      <c r="D782" s="8">
        <v>7.02</v>
      </c>
      <c r="E782" s="4">
        <v>29</v>
      </c>
      <c r="F782" s="8">
        <v>6.17</v>
      </c>
      <c r="G782" s="4">
        <v>57</v>
      </c>
      <c r="H782" s="8">
        <v>7.69</v>
      </c>
      <c r="I782" s="4">
        <v>0</v>
      </c>
    </row>
    <row r="783" spans="1:9" x14ac:dyDescent="0.2">
      <c r="A783" s="2">
        <v>4</v>
      </c>
      <c r="B783" s="1" t="s">
        <v>85</v>
      </c>
      <c r="C783" s="4">
        <v>82</v>
      </c>
      <c r="D783" s="8">
        <v>6.69</v>
      </c>
      <c r="E783" s="4">
        <v>25</v>
      </c>
      <c r="F783" s="8">
        <v>5.32</v>
      </c>
      <c r="G783" s="4">
        <v>57</v>
      </c>
      <c r="H783" s="8">
        <v>7.69</v>
      </c>
      <c r="I783" s="4">
        <v>0</v>
      </c>
    </row>
    <row r="784" spans="1:9" x14ac:dyDescent="0.2">
      <c r="A784" s="2">
        <v>4</v>
      </c>
      <c r="B784" s="1" t="s">
        <v>97</v>
      </c>
      <c r="C784" s="4">
        <v>82</v>
      </c>
      <c r="D784" s="8">
        <v>6.69</v>
      </c>
      <c r="E784" s="4">
        <v>60</v>
      </c>
      <c r="F784" s="8">
        <v>12.77</v>
      </c>
      <c r="G784" s="4">
        <v>22</v>
      </c>
      <c r="H784" s="8">
        <v>2.97</v>
      </c>
      <c r="I784" s="4">
        <v>0</v>
      </c>
    </row>
    <row r="785" spans="1:9" x14ac:dyDescent="0.2">
      <c r="A785" s="2">
        <v>6</v>
      </c>
      <c r="B785" s="1" t="s">
        <v>94</v>
      </c>
      <c r="C785" s="4">
        <v>61</v>
      </c>
      <c r="D785" s="8">
        <v>4.9800000000000004</v>
      </c>
      <c r="E785" s="4">
        <v>25</v>
      </c>
      <c r="F785" s="8">
        <v>5.32</v>
      </c>
      <c r="G785" s="4">
        <v>36</v>
      </c>
      <c r="H785" s="8">
        <v>4.8600000000000003</v>
      </c>
      <c r="I785" s="4">
        <v>0</v>
      </c>
    </row>
    <row r="786" spans="1:9" x14ac:dyDescent="0.2">
      <c r="A786" s="2">
        <v>7</v>
      </c>
      <c r="B786" s="1" t="s">
        <v>100</v>
      </c>
      <c r="C786" s="4">
        <v>57</v>
      </c>
      <c r="D786" s="8">
        <v>4.6500000000000004</v>
      </c>
      <c r="E786" s="4">
        <v>28</v>
      </c>
      <c r="F786" s="8">
        <v>5.96</v>
      </c>
      <c r="G786" s="4">
        <v>24</v>
      </c>
      <c r="H786" s="8">
        <v>3.24</v>
      </c>
      <c r="I786" s="4">
        <v>0</v>
      </c>
    </row>
    <row r="787" spans="1:9" x14ac:dyDescent="0.2">
      <c r="A787" s="2">
        <v>8</v>
      </c>
      <c r="B787" s="1" t="s">
        <v>95</v>
      </c>
      <c r="C787" s="4">
        <v>53</v>
      </c>
      <c r="D787" s="8">
        <v>4.33</v>
      </c>
      <c r="E787" s="4">
        <v>19</v>
      </c>
      <c r="F787" s="8">
        <v>4.04</v>
      </c>
      <c r="G787" s="4">
        <v>34</v>
      </c>
      <c r="H787" s="8">
        <v>4.59</v>
      </c>
      <c r="I787" s="4">
        <v>0</v>
      </c>
    </row>
    <row r="788" spans="1:9" x14ac:dyDescent="0.2">
      <c r="A788" s="2">
        <v>9</v>
      </c>
      <c r="B788" s="1" t="s">
        <v>90</v>
      </c>
      <c r="C788" s="4">
        <v>44</v>
      </c>
      <c r="D788" s="8">
        <v>3.59</v>
      </c>
      <c r="E788" s="4">
        <v>28</v>
      </c>
      <c r="F788" s="8">
        <v>5.96</v>
      </c>
      <c r="G788" s="4">
        <v>16</v>
      </c>
      <c r="H788" s="8">
        <v>2.16</v>
      </c>
      <c r="I788" s="4">
        <v>0</v>
      </c>
    </row>
    <row r="789" spans="1:9" x14ac:dyDescent="0.2">
      <c r="A789" s="2">
        <v>10</v>
      </c>
      <c r="B789" s="1" t="s">
        <v>86</v>
      </c>
      <c r="C789" s="4">
        <v>42</v>
      </c>
      <c r="D789" s="8">
        <v>3.43</v>
      </c>
      <c r="E789" s="4">
        <v>9</v>
      </c>
      <c r="F789" s="8">
        <v>1.91</v>
      </c>
      <c r="G789" s="4">
        <v>33</v>
      </c>
      <c r="H789" s="8">
        <v>4.45</v>
      </c>
      <c r="I789" s="4">
        <v>0</v>
      </c>
    </row>
    <row r="790" spans="1:9" x14ac:dyDescent="0.2">
      <c r="A790" s="2">
        <v>11</v>
      </c>
      <c r="B790" s="1" t="s">
        <v>103</v>
      </c>
      <c r="C790" s="4">
        <v>39</v>
      </c>
      <c r="D790" s="8">
        <v>3.18</v>
      </c>
      <c r="E790" s="4">
        <v>19</v>
      </c>
      <c r="F790" s="8">
        <v>4.04</v>
      </c>
      <c r="G790" s="4">
        <v>20</v>
      </c>
      <c r="H790" s="8">
        <v>2.7</v>
      </c>
      <c r="I790" s="4">
        <v>0</v>
      </c>
    </row>
    <row r="791" spans="1:9" x14ac:dyDescent="0.2">
      <c r="A791" s="2">
        <v>12</v>
      </c>
      <c r="B791" s="1" t="s">
        <v>91</v>
      </c>
      <c r="C791" s="4">
        <v>36</v>
      </c>
      <c r="D791" s="8">
        <v>2.94</v>
      </c>
      <c r="E791" s="4">
        <v>19</v>
      </c>
      <c r="F791" s="8">
        <v>4.04</v>
      </c>
      <c r="G791" s="4">
        <v>17</v>
      </c>
      <c r="H791" s="8">
        <v>2.29</v>
      </c>
      <c r="I791" s="4">
        <v>0</v>
      </c>
    </row>
    <row r="792" spans="1:9" x14ac:dyDescent="0.2">
      <c r="A792" s="2">
        <v>13</v>
      </c>
      <c r="B792" s="1" t="s">
        <v>101</v>
      </c>
      <c r="C792" s="4">
        <v>35</v>
      </c>
      <c r="D792" s="8">
        <v>2.86</v>
      </c>
      <c r="E792" s="4">
        <v>28</v>
      </c>
      <c r="F792" s="8">
        <v>5.96</v>
      </c>
      <c r="G792" s="4">
        <v>7</v>
      </c>
      <c r="H792" s="8">
        <v>0.94</v>
      </c>
      <c r="I792" s="4">
        <v>0</v>
      </c>
    </row>
    <row r="793" spans="1:9" x14ac:dyDescent="0.2">
      <c r="A793" s="2">
        <v>14</v>
      </c>
      <c r="B793" s="1" t="s">
        <v>96</v>
      </c>
      <c r="C793" s="4">
        <v>34</v>
      </c>
      <c r="D793" s="8">
        <v>2.78</v>
      </c>
      <c r="E793" s="4">
        <v>10</v>
      </c>
      <c r="F793" s="8">
        <v>2.13</v>
      </c>
      <c r="G793" s="4">
        <v>23</v>
      </c>
      <c r="H793" s="8">
        <v>3.1</v>
      </c>
      <c r="I793" s="4">
        <v>0</v>
      </c>
    </row>
    <row r="794" spans="1:9" x14ac:dyDescent="0.2">
      <c r="A794" s="2">
        <v>14</v>
      </c>
      <c r="B794" s="1" t="s">
        <v>102</v>
      </c>
      <c r="C794" s="4">
        <v>34</v>
      </c>
      <c r="D794" s="8">
        <v>2.78</v>
      </c>
      <c r="E794" s="4">
        <v>1</v>
      </c>
      <c r="F794" s="8">
        <v>0.21</v>
      </c>
      <c r="G794" s="4">
        <v>32</v>
      </c>
      <c r="H794" s="8">
        <v>4.32</v>
      </c>
      <c r="I794" s="4">
        <v>0</v>
      </c>
    </row>
    <row r="795" spans="1:9" x14ac:dyDescent="0.2">
      <c r="A795" s="2">
        <v>16</v>
      </c>
      <c r="B795" s="1" t="s">
        <v>99</v>
      </c>
      <c r="C795" s="4">
        <v>27</v>
      </c>
      <c r="D795" s="8">
        <v>2.2000000000000002</v>
      </c>
      <c r="E795" s="4">
        <v>7</v>
      </c>
      <c r="F795" s="8">
        <v>1.49</v>
      </c>
      <c r="G795" s="4">
        <v>18</v>
      </c>
      <c r="H795" s="8">
        <v>2.4300000000000002</v>
      </c>
      <c r="I795" s="4">
        <v>0</v>
      </c>
    </row>
    <row r="796" spans="1:9" x14ac:dyDescent="0.2">
      <c r="A796" s="2">
        <v>17</v>
      </c>
      <c r="B796" s="1" t="s">
        <v>87</v>
      </c>
      <c r="C796" s="4">
        <v>25</v>
      </c>
      <c r="D796" s="8">
        <v>2.04</v>
      </c>
      <c r="E796" s="4">
        <v>5</v>
      </c>
      <c r="F796" s="8">
        <v>1.06</v>
      </c>
      <c r="G796" s="4">
        <v>20</v>
      </c>
      <c r="H796" s="8">
        <v>2.7</v>
      </c>
      <c r="I796" s="4">
        <v>0</v>
      </c>
    </row>
    <row r="797" spans="1:9" x14ac:dyDescent="0.2">
      <c r="A797" s="2">
        <v>18</v>
      </c>
      <c r="B797" s="1" t="s">
        <v>104</v>
      </c>
      <c r="C797" s="4">
        <v>21</v>
      </c>
      <c r="D797" s="8">
        <v>1.71</v>
      </c>
      <c r="E797" s="4">
        <v>1</v>
      </c>
      <c r="F797" s="8">
        <v>0.21</v>
      </c>
      <c r="G797" s="4">
        <v>20</v>
      </c>
      <c r="H797" s="8">
        <v>2.7</v>
      </c>
      <c r="I797" s="4">
        <v>0</v>
      </c>
    </row>
    <row r="798" spans="1:9" x14ac:dyDescent="0.2">
      <c r="A798" s="2">
        <v>18</v>
      </c>
      <c r="B798" s="1" t="s">
        <v>89</v>
      </c>
      <c r="C798" s="4">
        <v>21</v>
      </c>
      <c r="D798" s="8">
        <v>1.71</v>
      </c>
      <c r="E798" s="4">
        <v>3</v>
      </c>
      <c r="F798" s="8">
        <v>0.64</v>
      </c>
      <c r="G798" s="4">
        <v>18</v>
      </c>
      <c r="H798" s="8">
        <v>2.4300000000000002</v>
      </c>
      <c r="I798" s="4">
        <v>0</v>
      </c>
    </row>
    <row r="799" spans="1:9" x14ac:dyDescent="0.2">
      <c r="A799" s="2">
        <v>18</v>
      </c>
      <c r="B799" s="1" t="s">
        <v>105</v>
      </c>
      <c r="C799" s="4">
        <v>21</v>
      </c>
      <c r="D799" s="8">
        <v>1.71</v>
      </c>
      <c r="E799" s="4">
        <v>2</v>
      </c>
      <c r="F799" s="8">
        <v>0.43</v>
      </c>
      <c r="G799" s="4">
        <v>19</v>
      </c>
      <c r="H799" s="8">
        <v>2.56</v>
      </c>
      <c r="I799" s="4">
        <v>0</v>
      </c>
    </row>
    <row r="800" spans="1:9" x14ac:dyDescent="0.2">
      <c r="A800" s="1"/>
      <c r="C800" s="4"/>
      <c r="D800" s="8"/>
      <c r="E800" s="4"/>
      <c r="F800" s="8"/>
      <c r="G800" s="4"/>
      <c r="H800" s="8"/>
      <c r="I800" s="4"/>
    </row>
    <row r="801" spans="1:9" x14ac:dyDescent="0.2">
      <c r="A801" s="1" t="s">
        <v>36</v>
      </c>
      <c r="C801" s="4"/>
      <c r="D801" s="8"/>
      <c r="E801" s="4"/>
      <c r="F801" s="8"/>
      <c r="G801" s="4"/>
      <c r="H801" s="8"/>
      <c r="I801" s="4"/>
    </row>
    <row r="802" spans="1:9" x14ac:dyDescent="0.2">
      <c r="A802" s="2">
        <v>1</v>
      </c>
      <c r="B802" s="1" t="s">
        <v>84</v>
      </c>
      <c r="C802" s="4">
        <v>84</v>
      </c>
      <c r="D802" s="8">
        <v>9.24</v>
      </c>
      <c r="E802" s="4">
        <v>19</v>
      </c>
      <c r="F802" s="8">
        <v>7.09</v>
      </c>
      <c r="G802" s="4">
        <v>65</v>
      </c>
      <c r="H802" s="8">
        <v>10.19</v>
      </c>
      <c r="I802" s="4">
        <v>0</v>
      </c>
    </row>
    <row r="803" spans="1:9" x14ac:dyDescent="0.2">
      <c r="A803" s="2">
        <v>2</v>
      </c>
      <c r="B803" s="1" t="s">
        <v>85</v>
      </c>
      <c r="C803" s="4">
        <v>58</v>
      </c>
      <c r="D803" s="8">
        <v>6.38</v>
      </c>
      <c r="E803" s="4">
        <v>16</v>
      </c>
      <c r="F803" s="8">
        <v>5.97</v>
      </c>
      <c r="G803" s="4">
        <v>42</v>
      </c>
      <c r="H803" s="8">
        <v>6.58</v>
      </c>
      <c r="I803" s="4">
        <v>0</v>
      </c>
    </row>
    <row r="804" spans="1:9" x14ac:dyDescent="0.2">
      <c r="A804" s="2">
        <v>3</v>
      </c>
      <c r="B804" s="1" t="s">
        <v>98</v>
      </c>
      <c r="C804" s="4">
        <v>56</v>
      </c>
      <c r="D804" s="8">
        <v>6.16</v>
      </c>
      <c r="E804" s="4">
        <v>47</v>
      </c>
      <c r="F804" s="8">
        <v>17.54</v>
      </c>
      <c r="G804" s="4">
        <v>9</v>
      </c>
      <c r="H804" s="8">
        <v>1.41</v>
      </c>
      <c r="I804" s="4">
        <v>0</v>
      </c>
    </row>
    <row r="805" spans="1:9" x14ac:dyDescent="0.2">
      <c r="A805" s="2">
        <v>4</v>
      </c>
      <c r="B805" s="1" t="s">
        <v>97</v>
      </c>
      <c r="C805" s="4">
        <v>55</v>
      </c>
      <c r="D805" s="8">
        <v>6.05</v>
      </c>
      <c r="E805" s="4">
        <v>43</v>
      </c>
      <c r="F805" s="8">
        <v>16.04</v>
      </c>
      <c r="G805" s="4">
        <v>12</v>
      </c>
      <c r="H805" s="8">
        <v>1.88</v>
      </c>
      <c r="I805" s="4">
        <v>0</v>
      </c>
    </row>
    <row r="806" spans="1:9" x14ac:dyDescent="0.2">
      <c r="A806" s="2">
        <v>5</v>
      </c>
      <c r="B806" s="1" t="s">
        <v>106</v>
      </c>
      <c r="C806" s="4">
        <v>52</v>
      </c>
      <c r="D806" s="8">
        <v>5.72</v>
      </c>
      <c r="E806" s="4">
        <v>6</v>
      </c>
      <c r="F806" s="8">
        <v>2.2400000000000002</v>
      </c>
      <c r="G806" s="4">
        <v>46</v>
      </c>
      <c r="H806" s="8">
        <v>7.21</v>
      </c>
      <c r="I806" s="4">
        <v>0</v>
      </c>
    </row>
    <row r="807" spans="1:9" x14ac:dyDescent="0.2">
      <c r="A807" s="2">
        <v>6</v>
      </c>
      <c r="B807" s="1" t="s">
        <v>94</v>
      </c>
      <c r="C807" s="4">
        <v>43</v>
      </c>
      <c r="D807" s="8">
        <v>4.7300000000000004</v>
      </c>
      <c r="E807" s="4">
        <v>1</v>
      </c>
      <c r="F807" s="8">
        <v>0.37</v>
      </c>
      <c r="G807" s="4">
        <v>42</v>
      </c>
      <c r="H807" s="8">
        <v>6.58</v>
      </c>
      <c r="I807" s="4">
        <v>0</v>
      </c>
    </row>
    <row r="808" spans="1:9" x14ac:dyDescent="0.2">
      <c r="A808" s="2">
        <v>7</v>
      </c>
      <c r="B808" s="1" t="s">
        <v>100</v>
      </c>
      <c r="C808" s="4">
        <v>42</v>
      </c>
      <c r="D808" s="8">
        <v>4.62</v>
      </c>
      <c r="E808" s="4">
        <v>17</v>
      </c>
      <c r="F808" s="8">
        <v>6.34</v>
      </c>
      <c r="G808" s="4">
        <v>24</v>
      </c>
      <c r="H808" s="8">
        <v>3.76</v>
      </c>
      <c r="I808" s="4">
        <v>0</v>
      </c>
    </row>
    <row r="809" spans="1:9" x14ac:dyDescent="0.2">
      <c r="A809" s="2">
        <v>8</v>
      </c>
      <c r="B809" s="1" t="s">
        <v>92</v>
      </c>
      <c r="C809" s="4">
        <v>41</v>
      </c>
      <c r="D809" s="8">
        <v>4.51</v>
      </c>
      <c r="E809" s="4">
        <v>11</v>
      </c>
      <c r="F809" s="8">
        <v>4.0999999999999996</v>
      </c>
      <c r="G809" s="4">
        <v>30</v>
      </c>
      <c r="H809" s="8">
        <v>4.7</v>
      </c>
      <c r="I809" s="4">
        <v>0</v>
      </c>
    </row>
    <row r="810" spans="1:9" x14ac:dyDescent="0.2">
      <c r="A810" s="2">
        <v>9</v>
      </c>
      <c r="B810" s="1" t="s">
        <v>86</v>
      </c>
      <c r="C810" s="4">
        <v>38</v>
      </c>
      <c r="D810" s="8">
        <v>4.18</v>
      </c>
      <c r="E810" s="4">
        <v>5</v>
      </c>
      <c r="F810" s="8">
        <v>1.87</v>
      </c>
      <c r="G810" s="4">
        <v>33</v>
      </c>
      <c r="H810" s="8">
        <v>5.17</v>
      </c>
      <c r="I810" s="4">
        <v>0</v>
      </c>
    </row>
    <row r="811" spans="1:9" x14ac:dyDescent="0.2">
      <c r="A811" s="2">
        <v>10</v>
      </c>
      <c r="B811" s="1" t="s">
        <v>90</v>
      </c>
      <c r="C811" s="4">
        <v>29</v>
      </c>
      <c r="D811" s="8">
        <v>3.19</v>
      </c>
      <c r="E811" s="4">
        <v>12</v>
      </c>
      <c r="F811" s="8">
        <v>4.4800000000000004</v>
      </c>
      <c r="G811" s="4">
        <v>17</v>
      </c>
      <c r="H811" s="8">
        <v>2.66</v>
      </c>
      <c r="I811" s="4">
        <v>0</v>
      </c>
    </row>
    <row r="812" spans="1:9" x14ac:dyDescent="0.2">
      <c r="A812" s="2">
        <v>11</v>
      </c>
      <c r="B812" s="1" t="s">
        <v>95</v>
      </c>
      <c r="C812" s="4">
        <v>27</v>
      </c>
      <c r="D812" s="8">
        <v>2.97</v>
      </c>
      <c r="E812" s="4">
        <v>12</v>
      </c>
      <c r="F812" s="8">
        <v>4.4800000000000004</v>
      </c>
      <c r="G812" s="4">
        <v>15</v>
      </c>
      <c r="H812" s="8">
        <v>2.35</v>
      </c>
      <c r="I812" s="4">
        <v>0</v>
      </c>
    </row>
    <row r="813" spans="1:9" x14ac:dyDescent="0.2">
      <c r="A813" s="2">
        <v>12</v>
      </c>
      <c r="B813" s="1" t="s">
        <v>103</v>
      </c>
      <c r="C813" s="4">
        <v>26</v>
      </c>
      <c r="D813" s="8">
        <v>2.86</v>
      </c>
      <c r="E813" s="4">
        <v>11</v>
      </c>
      <c r="F813" s="8">
        <v>4.0999999999999996</v>
      </c>
      <c r="G813" s="4">
        <v>15</v>
      </c>
      <c r="H813" s="8">
        <v>2.35</v>
      </c>
      <c r="I813" s="4">
        <v>0</v>
      </c>
    </row>
    <row r="814" spans="1:9" x14ac:dyDescent="0.2">
      <c r="A814" s="2">
        <v>13</v>
      </c>
      <c r="B814" s="1" t="s">
        <v>101</v>
      </c>
      <c r="C814" s="4">
        <v>24</v>
      </c>
      <c r="D814" s="8">
        <v>2.64</v>
      </c>
      <c r="E814" s="4">
        <v>21</v>
      </c>
      <c r="F814" s="8">
        <v>7.84</v>
      </c>
      <c r="G814" s="4">
        <v>3</v>
      </c>
      <c r="H814" s="8">
        <v>0.47</v>
      </c>
      <c r="I814" s="4">
        <v>0</v>
      </c>
    </row>
    <row r="815" spans="1:9" x14ac:dyDescent="0.2">
      <c r="A815" s="2">
        <v>14</v>
      </c>
      <c r="B815" s="1" t="s">
        <v>87</v>
      </c>
      <c r="C815" s="4">
        <v>23</v>
      </c>
      <c r="D815" s="8">
        <v>2.5299999999999998</v>
      </c>
      <c r="E815" s="4">
        <v>3</v>
      </c>
      <c r="F815" s="8">
        <v>1.1200000000000001</v>
      </c>
      <c r="G815" s="4">
        <v>20</v>
      </c>
      <c r="H815" s="8">
        <v>3.13</v>
      </c>
      <c r="I815" s="4">
        <v>0</v>
      </c>
    </row>
    <row r="816" spans="1:9" x14ac:dyDescent="0.2">
      <c r="A816" s="2">
        <v>14</v>
      </c>
      <c r="B816" s="1" t="s">
        <v>91</v>
      </c>
      <c r="C816" s="4">
        <v>23</v>
      </c>
      <c r="D816" s="8">
        <v>2.5299999999999998</v>
      </c>
      <c r="E816" s="4">
        <v>8</v>
      </c>
      <c r="F816" s="8">
        <v>2.99</v>
      </c>
      <c r="G816" s="4">
        <v>15</v>
      </c>
      <c r="H816" s="8">
        <v>2.35</v>
      </c>
      <c r="I816" s="4">
        <v>0</v>
      </c>
    </row>
    <row r="817" spans="1:9" x14ac:dyDescent="0.2">
      <c r="A817" s="2">
        <v>16</v>
      </c>
      <c r="B817" s="1" t="s">
        <v>88</v>
      </c>
      <c r="C817" s="4">
        <v>19</v>
      </c>
      <c r="D817" s="8">
        <v>2.09</v>
      </c>
      <c r="E817" s="4">
        <v>1</v>
      </c>
      <c r="F817" s="8">
        <v>0.37</v>
      </c>
      <c r="G817" s="4">
        <v>18</v>
      </c>
      <c r="H817" s="8">
        <v>2.82</v>
      </c>
      <c r="I817" s="4">
        <v>0</v>
      </c>
    </row>
    <row r="818" spans="1:9" x14ac:dyDescent="0.2">
      <c r="A818" s="2">
        <v>16</v>
      </c>
      <c r="B818" s="1" t="s">
        <v>96</v>
      </c>
      <c r="C818" s="4">
        <v>19</v>
      </c>
      <c r="D818" s="8">
        <v>2.09</v>
      </c>
      <c r="E818" s="4">
        <v>3</v>
      </c>
      <c r="F818" s="8">
        <v>1.1200000000000001</v>
      </c>
      <c r="G818" s="4">
        <v>16</v>
      </c>
      <c r="H818" s="8">
        <v>2.5099999999999998</v>
      </c>
      <c r="I818" s="4">
        <v>0</v>
      </c>
    </row>
    <row r="819" spans="1:9" x14ac:dyDescent="0.2">
      <c r="A819" s="2">
        <v>18</v>
      </c>
      <c r="B819" s="1" t="s">
        <v>117</v>
      </c>
      <c r="C819" s="4">
        <v>18</v>
      </c>
      <c r="D819" s="8">
        <v>1.98</v>
      </c>
      <c r="E819" s="4">
        <v>0</v>
      </c>
      <c r="F819" s="8">
        <v>0</v>
      </c>
      <c r="G819" s="4">
        <v>18</v>
      </c>
      <c r="H819" s="8">
        <v>2.82</v>
      </c>
      <c r="I819" s="4">
        <v>0</v>
      </c>
    </row>
    <row r="820" spans="1:9" x14ac:dyDescent="0.2">
      <c r="A820" s="2">
        <v>19</v>
      </c>
      <c r="B820" s="1" t="s">
        <v>122</v>
      </c>
      <c r="C820" s="4">
        <v>15</v>
      </c>
      <c r="D820" s="8">
        <v>1.65</v>
      </c>
      <c r="E820" s="4">
        <v>2</v>
      </c>
      <c r="F820" s="8">
        <v>0.75</v>
      </c>
      <c r="G820" s="4">
        <v>13</v>
      </c>
      <c r="H820" s="8">
        <v>2.04</v>
      </c>
      <c r="I820" s="4">
        <v>0</v>
      </c>
    </row>
    <row r="821" spans="1:9" x14ac:dyDescent="0.2">
      <c r="A821" s="2">
        <v>20</v>
      </c>
      <c r="B821" s="1" t="s">
        <v>99</v>
      </c>
      <c r="C821" s="4">
        <v>14</v>
      </c>
      <c r="D821" s="8">
        <v>1.54</v>
      </c>
      <c r="E821" s="4">
        <v>7</v>
      </c>
      <c r="F821" s="8">
        <v>2.61</v>
      </c>
      <c r="G821" s="4">
        <v>7</v>
      </c>
      <c r="H821" s="8">
        <v>1.1000000000000001</v>
      </c>
      <c r="I821" s="4">
        <v>0</v>
      </c>
    </row>
    <row r="822" spans="1:9" x14ac:dyDescent="0.2">
      <c r="A822" s="1"/>
      <c r="C822" s="4"/>
      <c r="D822" s="8"/>
      <c r="E822" s="4"/>
      <c r="F822" s="8"/>
      <c r="G822" s="4"/>
      <c r="H822" s="8"/>
      <c r="I822" s="4"/>
    </row>
    <row r="823" spans="1:9" x14ac:dyDescent="0.2">
      <c r="A823" s="1" t="s">
        <v>37</v>
      </c>
      <c r="C823" s="4"/>
      <c r="D823" s="8"/>
      <c r="E823" s="4"/>
      <c r="F823" s="8"/>
      <c r="G823" s="4"/>
      <c r="H823" s="8"/>
      <c r="I823" s="4"/>
    </row>
    <row r="824" spans="1:9" x14ac:dyDescent="0.2">
      <c r="A824" s="2">
        <v>1</v>
      </c>
      <c r="B824" s="1" t="s">
        <v>98</v>
      </c>
      <c r="C824" s="4">
        <v>98</v>
      </c>
      <c r="D824" s="8">
        <v>11.41</v>
      </c>
      <c r="E824" s="4">
        <v>83</v>
      </c>
      <c r="F824" s="8">
        <v>22.13</v>
      </c>
      <c r="G824" s="4">
        <v>15</v>
      </c>
      <c r="H824" s="8">
        <v>3.14</v>
      </c>
      <c r="I824" s="4">
        <v>0</v>
      </c>
    </row>
    <row r="825" spans="1:9" x14ac:dyDescent="0.2">
      <c r="A825" s="2">
        <v>2</v>
      </c>
      <c r="B825" s="1" t="s">
        <v>97</v>
      </c>
      <c r="C825" s="4">
        <v>87</v>
      </c>
      <c r="D825" s="8">
        <v>10.130000000000001</v>
      </c>
      <c r="E825" s="4">
        <v>71</v>
      </c>
      <c r="F825" s="8">
        <v>18.93</v>
      </c>
      <c r="G825" s="4">
        <v>16</v>
      </c>
      <c r="H825" s="8">
        <v>3.35</v>
      </c>
      <c r="I825" s="4">
        <v>0</v>
      </c>
    </row>
    <row r="826" spans="1:9" x14ac:dyDescent="0.2">
      <c r="A826" s="2">
        <v>3</v>
      </c>
      <c r="B826" s="1" t="s">
        <v>84</v>
      </c>
      <c r="C826" s="4">
        <v>71</v>
      </c>
      <c r="D826" s="8">
        <v>8.27</v>
      </c>
      <c r="E826" s="4">
        <v>10</v>
      </c>
      <c r="F826" s="8">
        <v>2.67</v>
      </c>
      <c r="G826" s="4">
        <v>61</v>
      </c>
      <c r="H826" s="8">
        <v>12.76</v>
      </c>
      <c r="I826" s="4">
        <v>0</v>
      </c>
    </row>
    <row r="827" spans="1:9" x14ac:dyDescent="0.2">
      <c r="A827" s="2">
        <v>4</v>
      </c>
      <c r="B827" s="1" t="s">
        <v>94</v>
      </c>
      <c r="C827" s="4">
        <v>70</v>
      </c>
      <c r="D827" s="8">
        <v>8.15</v>
      </c>
      <c r="E827" s="4">
        <v>26</v>
      </c>
      <c r="F827" s="8">
        <v>6.93</v>
      </c>
      <c r="G827" s="4">
        <v>44</v>
      </c>
      <c r="H827" s="8">
        <v>9.2100000000000009</v>
      </c>
      <c r="I827" s="4">
        <v>0</v>
      </c>
    </row>
    <row r="828" spans="1:9" x14ac:dyDescent="0.2">
      <c r="A828" s="2">
        <v>5</v>
      </c>
      <c r="B828" s="1" t="s">
        <v>85</v>
      </c>
      <c r="C828" s="4">
        <v>53</v>
      </c>
      <c r="D828" s="8">
        <v>6.17</v>
      </c>
      <c r="E828" s="4">
        <v>21</v>
      </c>
      <c r="F828" s="8">
        <v>5.6</v>
      </c>
      <c r="G828" s="4">
        <v>32</v>
      </c>
      <c r="H828" s="8">
        <v>6.69</v>
      </c>
      <c r="I828" s="4">
        <v>0</v>
      </c>
    </row>
    <row r="829" spans="1:9" x14ac:dyDescent="0.2">
      <c r="A829" s="2">
        <v>6</v>
      </c>
      <c r="B829" s="1" t="s">
        <v>91</v>
      </c>
      <c r="C829" s="4">
        <v>39</v>
      </c>
      <c r="D829" s="8">
        <v>4.54</v>
      </c>
      <c r="E829" s="4">
        <v>18</v>
      </c>
      <c r="F829" s="8">
        <v>4.8</v>
      </c>
      <c r="G829" s="4">
        <v>21</v>
      </c>
      <c r="H829" s="8">
        <v>4.3899999999999997</v>
      </c>
      <c r="I829" s="4">
        <v>0</v>
      </c>
    </row>
    <row r="830" spans="1:9" x14ac:dyDescent="0.2">
      <c r="A830" s="2">
        <v>7</v>
      </c>
      <c r="B830" s="1" t="s">
        <v>86</v>
      </c>
      <c r="C830" s="4">
        <v>38</v>
      </c>
      <c r="D830" s="8">
        <v>4.42</v>
      </c>
      <c r="E830" s="4">
        <v>5</v>
      </c>
      <c r="F830" s="8">
        <v>1.33</v>
      </c>
      <c r="G830" s="4">
        <v>33</v>
      </c>
      <c r="H830" s="8">
        <v>6.9</v>
      </c>
      <c r="I830" s="4">
        <v>0</v>
      </c>
    </row>
    <row r="831" spans="1:9" x14ac:dyDescent="0.2">
      <c r="A831" s="2">
        <v>8</v>
      </c>
      <c r="B831" s="1" t="s">
        <v>92</v>
      </c>
      <c r="C831" s="4">
        <v>37</v>
      </c>
      <c r="D831" s="8">
        <v>4.3099999999999996</v>
      </c>
      <c r="E831" s="4">
        <v>14</v>
      </c>
      <c r="F831" s="8">
        <v>3.73</v>
      </c>
      <c r="G831" s="4">
        <v>23</v>
      </c>
      <c r="H831" s="8">
        <v>4.8099999999999996</v>
      </c>
      <c r="I831" s="4">
        <v>0</v>
      </c>
    </row>
    <row r="832" spans="1:9" x14ac:dyDescent="0.2">
      <c r="A832" s="2">
        <v>9</v>
      </c>
      <c r="B832" s="1" t="s">
        <v>101</v>
      </c>
      <c r="C832" s="4">
        <v>36</v>
      </c>
      <c r="D832" s="8">
        <v>4.1900000000000004</v>
      </c>
      <c r="E832" s="4">
        <v>29</v>
      </c>
      <c r="F832" s="8">
        <v>7.73</v>
      </c>
      <c r="G832" s="4">
        <v>7</v>
      </c>
      <c r="H832" s="8">
        <v>1.46</v>
      </c>
      <c r="I832" s="4">
        <v>0</v>
      </c>
    </row>
    <row r="833" spans="1:9" x14ac:dyDescent="0.2">
      <c r="A833" s="2">
        <v>10</v>
      </c>
      <c r="B833" s="1" t="s">
        <v>90</v>
      </c>
      <c r="C833" s="4">
        <v>22</v>
      </c>
      <c r="D833" s="8">
        <v>2.56</v>
      </c>
      <c r="E833" s="4">
        <v>15</v>
      </c>
      <c r="F833" s="8">
        <v>4</v>
      </c>
      <c r="G833" s="4">
        <v>7</v>
      </c>
      <c r="H833" s="8">
        <v>1.46</v>
      </c>
      <c r="I833" s="4">
        <v>0</v>
      </c>
    </row>
    <row r="834" spans="1:9" x14ac:dyDescent="0.2">
      <c r="A834" s="2">
        <v>11</v>
      </c>
      <c r="B834" s="1" t="s">
        <v>93</v>
      </c>
      <c r="C834" s="4">
        <v>21</v>
      </c>
      <c r="D834" s="8">
        <v>2.44</v>
      </c>
      <c r="E834" s="4">
        <v>0</v>
      </c>
      <c r="F834" s="8">
        <v>0</v>
      </c>
      <c r="G834" s="4">
        <v>21</v>
      </c>
      <c r="H834" s="8">
        <v>4.3899999999999997</v>
      </c>
      <c r="I834" s="4">
        <v>0</v>
      </c>
    </row>
    <row r="835" spans="1:9" x14ac:dyDescent="0.2">
      <c r="A835" s="2">
        <v>11</v>
      </c>
      <c r="B835" s="1" t="s">
        <v>100</v>
      </c>
      <c r="C835" s="4">
        <v>21</v>
      </c>
      <c r="D835" s="8">
        <v>2.44</v>
      </c>
      <c r="E835" s="4">
        <v>17</v>
      </c>
      <c r="F835" s="8">
        <v>4.53</v>
      </c>
      <c r="G835" s="4">
        <v>4</v>
      </c>
      <c r="H835" s="8">
        <v>0.84</v>
      </c>
      <c r="I835" s="4">
        <v>0</v>
      </c>
    </row>
    <row r="836" spans="1:9" x14ac:dyDescent="0.2">
      <c r="A836" s="2">
        <v>13</v>
      </c>
      <c r="B836" s="1" t="s">
        <v>114</v>
      </c>
      <c r="C836" s="4">
        <v>19</v>
      </c>
      <c r="D836" s="8">
        <v>2.21</v>
      </c>
      <c r="E836" s="4">
        <v>2</v>
      </c>
      <c r="F836" s="8">
        <v>0.53</v>
      </c>
      <c r="G836" s="4">
        <v>17</v>
      </c>
      <c r="H836" s="8">
        <v>3.56</v>
      </c>
      <c r="I836" s="4">
        <v>0</v>
      </c>
    </row>
    <row r="837" spans="1:9" x14ac:dyDescent="0.2">
      <c r="A837" s="2">
        <v>14</v>
      </c>
      <c r="B837" s="1" t="s">
        <v>96</v>
      </c>
      <c r="C837" s="4">
        <v>18</v>
      </c>
      <c r="D837" s="8">
        <v>2.1</v>
      </c>
      <c r="E837" s="4">
        <v>4</v>
      </c>
      <c r="F837" s="8">
        <v>1.07</v>
      </c>
      <c r="G837" s="4">
        <v>14</v>
      </c>
      <c r="H837" s="8">
        <v>2.93</v>
      </c>
      <c r="I837" s="4">
        <v>0</v>
      </c>
    </row>
    <row r="838" spans="1:9" x14ac:dyDescent="0.2">
      <c r="A838" s="2">
        <v>15</v>
      </c>
      <c r="B838" s="1" t="s">
        <v>103</v>
      </c>
      <c r="C838" s="4">
        <v>17</v>
      </c>
      <c r="D838" s="8">
        <v>1.98</v>
      </c>
      <c r="E838" s="4">
        <v>13</v>
      </c>
      <c r="F838" s="8">
        <v>3.47</v>
      </c>
      <c r="G838" s="4">
        <v>4</v>
      </c>
      <c r="H838" s="8">
        <v>0.84</v>
      </c>
      <c r="I838" s="4">
        <v>0</v>
      </c>
    </row>
    <row r="839" spans="1:9" x14ac:dyDescent="0.2">
      <c r="A839" s="2">
        <v>16</v>
      </c>
      <c r="B839" s="1" t="s">
        <v>89</v>
      </c>
      <c r="C839" s="4">
        <v>15</v>
      </c>
      <c r="D839" s="8">
        <v>1.75</v>
      </c>
      <c r="E839" s="4">
        <v>9</v>
      </c>
      <c r="F839" s="8">
        <v>2.4</v>
      </c>
      <c r="G839" s="4">
        <v>6</v>
      </c>
      <c r="H839" s="8">
        <v>1.26</v>
      </c>
      <c r="I839" s="4">
        <v>0</v>
      </c>
    </row>
    <row r="840" spans="1:9" x14ac:dyDescent="0.2">
      <c r="A840" s="2">
        <v>17</v>
      </c>
      <c r="B840" s="1" t="s">
        <v>88</v>
      </c>
      <c r="C840" s="4">
        <v>14</v>
      </c>
      <c r="D840" s="8">
        <v>1.63</v>
      </c>
      <c r="E840" s="4">
        <v>0</v>
      </c>
      <c r="F840" s="8">
        <v>0</v>
      </c>
      <c r="G840" s="4">
        <v>14</v>
      </c>
      <c r="H840" s="8">
        <v>2.93</v>
      </c>
      <c r="I840" s="4">
        <v>0</v>
      </c>
    </row>
    <row r="841" spans="1:9" x14ac:dyDescent="0.2">
      <c r="A841" s="2">
        <v>17</v>
      </c>
      <c r="B841" s="1" t="s">
        <v>95</v>
      </c>
      <c r="C841" s="4">
        <v>14</v>
      </c>
      <c r="D841" s="8">
        <v>1.63</v>
      </c>
      <c r="E841" s="4">
        <v>8</v>
      </c>
      <c r="F841" s="8">
        <v>2.13</v>
      </c>
      <c r="G841" s="4">
        <v>6</v>
      </c>
      <c r="H841" s="8">
        <v>1.26</v>
      </c>
      <c r="I841" s="4">
        <v>0</v>
      </c>
    </row>
    <row r="842" spans="1:9" x14ac:dyDescent="0.2">
      <c r="A842" s="2">
        <v>17</v>
      </c>
      <c r="B842" s="1" t="s">
        <v>99</v>
      </c>
      <c r="C842" s="4">
        <v>14</v>
      </c>
      <c r="D842" s="8">
        <v>1.63</v>
      </c>
      <c r="E842" s="4">
        <v>5</v>
      </c>
      <c r="F842" s="8">
        <v>1.33</v>
      </c>
      <c r="G842" s="4">
        <v>9</v>
      </c>
      <c r="H842" s="8">
        <v>1.88</v>
      </c>
      <c r="I842" s="4">
        <v>0</v>
      </c>
    </row>
    <row r="843" spans="1:9" x14ac:dyDescent="0.2">
      <c r="A843" s="2">
        <v>20</v>
      </c>
      <c r="B843" s="1" t="s">
        <v>104</v>
      </c>
      <c r="C843" s="4">
        <v>13</v>
      </c>
      <c r="D843" s="8">
        <v>1.51</v>
      </c>
      <c r="E843" s="4">
        <v>4</v>
      </c>
      <c r="F843" s="8">
        <v>1.07</v>
      </c>
      <c r="G843" s="4">
        <v>9</v>
      </c>
      <c r="H843" s="8">
        <v>1.88</v>
      </c>
      <c r="I843" s="4">
        <v>0</v>
      </c>
    </row>
    <row r="844" spans="1:9" x14ac:dyDescent="0.2">
      <c r="A844" s="1"/>
      <c r="C844" s="4"/>
      <c r="D844" s="8"/>
      <c r="E844" s="4"/>
      <c r="F844" s="8"/>
      <c r="G844" s="4"/>
      <c r="H844" s="8"/>
      <c r="I844" s="4"/>
    </row>
    <row r="845" spans="1:9" x14ac:dyDescent="0.2">
      <c r="A845" s="1" t="s">
        <v>38</v>
      </c>
      <c r="C845" s="4"/>
      <c r="D845" s="8"/>
      <c r="E845" s="4"/>
      <c r="F845" s="8"/>
      <c r="G845" s="4"/>
      <c r="H845" s="8"/>
      <c r="I845" s="4"/>
    </row>
    <row r="846" spans="1:9" x14ac:dyDescent="0.2">
      <c r="A846" s="2">
        <v>1</v>
      </c>
      <c r="B846" s="1" t="s">
        <v>98</v>
      </c>
      <c r="C846" s="4">
        <v>124</v>
      </c>
      <c r="D846" s="8">
        <v>10.39</v>
      </c>
      <c r="E846" s="4">
        <v>120</v>
      </c>
      <c r="F846" s="8">
        <v>15.27</v>
      </c>
      <c r="G846" s="4">
        <v>4</v>
      </c>
      <c r="H846" s="8">
        <v>1</v>
      </c>
      <c r="I846" s="4">
        <v>0</v>
      </c>
    </row>
    <row r="847" spans="1:9" x14ac:dyDescent="0.2">
      <c r="A847" s="2">
        <v>2</v>
      </c>
      <c r="B847" s="1" t="s">
        <v>97</v>
      </c>
      <c r="C847" s="4">
        <v>120</v>
      </c>
      <c r="D847" s="8">
        <v>10.050000000000001</v>
      </c>
      <c r="E847" s="4">
        <v>106</v>
      </c>
      <c r="F847" s="8">
        <v>13.49</v>
      </c>
      <c r="G847" s="4">
        <v>14</v>
      </c>
      <c r="H847" s="8">
        <v>3.5</v>
      </c>
      <c r="I847" s="4">
        <v>0</v>
      </c>
    </row>
    <row r="848" spans="1:9" x14ac:dyDescent="0.2">
      <c r="A848" s="2">
        <v>3</v>
      </c>
      <c r="B848" s="1" t="s">
        <v>84</v>
      </c>
      <c r="C848" s="4">
        <v>116</v>
      </c>
      <c r="D848" s="8">
        <v>9.7200000000000006</v>
      </c>
      <c r="E848" s="4">
        <v>63</v>
      </c>
      <c r="F848" s="8">
        <v>8.02</v>
      </c>
      <c r="G848" s="4">
        <v>53</v>
      </c>
      <c r="H848" s="8">
        <v>13.25</v>
      </c>
      <c r="I848" s="4">
        <v>0</v>
      </c>
    </row>
    <row r="849" spans="1:9" x14ac:dyDescent="0.2">
      <c r="A849" s="2">
        <v>4</v>
      </c>
      <c r="B849" s="1" t="s">
        <v>90</v>
      </c>
      <c r="C849" s="4">
        <v>96</v>
      </c>
      <c r="D849" s="8">
        <v>8.0399999999999991</v>
      </c>
      <c r="E849" s="4">
        <v>74</v>
      </c>
      <c r="F849" s="8">
        <v>9.41</v>
      </c>
      <c r="G849" s="4">
        <v>22</v>
      </c>
      <c r="H849" s="8">
        <v>5.5</v>
      </c>
      <c r="I849" s="4">
        <v>0</v>
      </c>
    </row>
    <row r="850" spans="1:9" x14ac:dyDescent="0.2">
      <c r="A850" s="2">
        <v>5</v>
      </c>
      <c r="B850" s="1" t="s">
        <v>92</v>
      </c>
      <c r="C850" s="4">
        <v>85</v>
      </c>
      <c r="D850" s="8">
        <v>7.12</v>
      </c>
      <c r="E850" s="4">
        <v>49</v>
      </c>
      <c r="F850" s="8">
        <v>6.23</v>
      </c>
      <c r="G850" s="4">
        <v>36</v>
      </c>
      <c r="H850" s="8">
        <v>9</v>
      </c>
      <c r="I850" s="4">
        <v>0</v>
      </c>
    </row>
    <row r="851" spans="1:9" x14ac:dyDescent="0.2">
      <c r="A851" s="2">
        <v>6</v>
      </c>
      <c r="B851" s="1" t="s">
        <v>111</v>
      </c>
      <c r="C851" s="4">
        <v>84</v>
      </c>
      <c r="D851" s="8">
        <v>7.04</v>
      </c>
      <c r="E851" s="4">
        <v>67</v>
      </c>
      <c r="F851" s="8">
        <v>8.52</v>
      </c>
      <c r="G851" s="4">
        <v>17</v>
      </c>
      <c r="H851" s="8">
        <v>4.25</v>
      </c>
      <c r="I851" s="4">
        <v>0</v>
      </c>
    </row>
    <row r="852" spans="1:9" x14ac:dyDescent="0.2">
      <c r="A852" s="2">
        <v>7</v>
      </c>
      <c r="B852" s="1" t="s">
        <v>85</v>
      </c>
      <c r="C852" s="4">
        <v>73</v>
      </c>
      <c r="D852" s="8">
        <v>6.11</v>
      </c>
      <c r="E852" s="4">
        <v>51</v>
      </c>
      <c r="F852" s="8">
        <v>6.49</v>
      </c>
      <c r="G852" s="4">
        <v>22</v>
      </c>
      <c r="H852" s="8">
        <v>5.5</v>
      </c>
      <c r="I852" s="4">
        <v>0</v>
      </c>
    </row>
    <row r="853" spans="1:9" x14ac:dyDescent="0.2">
      <c r="A853" s="2">
        <v>8</v>
      </c>
      <c r="B853" s="1" t="s">
        <v>94</v>
      </c>
      <c r="C853" s="4">
        <v>43</v>
      </c>
      <c r="D853" s="8">
        <v>3.6</v>
      </c>
      <c r="E853" s="4">
        <v>24</v>
      </c>
      <c r="F853" s="8">
        <v>3.05</v>
      </c>
      <c r="G853" s="4">
        <v>18</v>
      </c>
      <c r="H853" s="8">
        <v>4.5</v>
      </c>
      <c r="I853" s="4">
        <v>0</v>
      </c>
    </row>
    <row r="854" spans="1:9" x14ac:dyDescent="0.2">
      <c r="A854" s="2">
        <v>9</v>
      </c>
      <c r="B854" s="1" t="s">
        <v>86</v>
      </c>
      <c r="C854" s="4">
        <v>34</v>
      </c>
      <c r="D854" s="8">
        <v>2.85</v>
      </c>
      <c r="E854" s="4">
        <v>19</v>
      </c>
      <c r="F854" s="8">
        <v>2.42</v>
      </c>
      <c r="G854" s="4">
        <v>15</v>
      </c>
      <c r="H854" s="8">
        <v>3.75</v>
      </c>
      <c r="I854" s="4">
        <v>0</v>
      </c>
    </row>
    <row r="855" spans="1:9" x14ac:dyDescent="0.2">
      <c r="A855" s="2">
        <v>10</v>
      </c>
      <c r="B855" s="1" t="s">
        <v>91</v>
      </c>
      <c r="C855" s="4">
        <v>28</v>
      </c>
      <c r="D855" s="8">
        <v>2.35</v>
      </c>
      <c r="E855" s="4">
        <v>17</v>
      </c>
      <c r="F855" s="8">
        <v>2.16</v>
      </c>
      <c r="G855" s="4">
        <v>11</v>
      </c>
      <c r="H855" s="8">
        <v>2.75</v>
      </c>
      <c r="I855" s="4">
        <v>0</v>
      </c>
    </row>
    <row r="856" spans="1:9" x14ac:dyDescent="0.2">
      <c r="A856" s="2">
        <v>11</v>
      </c>
      <c r="B856" s="1" t="s">
        <v>101</v>
      </c>
      <c r="C856" s="4">
        <v>27</v>
      </c>
      <c r="D856" s="8">
        <v>2.2599999999999998</v>
      </c>
      <c r="E856" s="4">
        <v>24</v>
      </c>
      <c r="F856" s="8">
        <v>3.05</v>
      </c>
      <c r="G856" s="4">
        <v>3</v>
      </c>
      <c r="H856" s="8">
        <v>0.75</v>
      </c>
      <c r="I856" s="4">
        <v>0</v>
      </c>
    </row>
    <row r="857" spans="1:9" x14ac:dyDescent="0.2">
      <c r="A857" s="2">
        <v>11</v>
      </c>
      <c r="B857" s="1" t="s">
        <v>102</v>
      </c>
      <c r="C857" s="4">
        <v>27</v>
      </c>
      <c r="D857" s="8">
        <v>2.2599999999999998</v>
      </c>
      <c r="E857" s="4">
        <v>0</v>
      </c>
      <c r="F857" s="8">
        <v>0</v>
      </c>
      <c r="G857" s="4">
        <v>26</v>
      </c>
      <c r="H857" s="8">
        <v>6.5</v>
      </c>
      <c r="I857" s="4">
        <v>0</v>
      </c>
    </row>
    <row r="858" spans="1:9" x14ac:dyDescent="0.2">
      <c r="A858" s="2">
        <v>13</v>
      </c>
      <c r="B858" s="1" t="s">
        <v>100</v>
      </c>
      <c r="C858" s="4">
        <v>26</v>
      </c>
      <c r="D858" s="8">
        <v>2.1800000000000002</v>
      </c>
      <c r="E858" s="4">
        <v>21</v>
      </c>
      <c r="F858" s="8">
        <v>2.67</v>
      </c>
      <c r="G858" s="4">
        <v>2</v>
      </c>
      <c r="H858" s="8">
        <v>0.5</v>
      </c>
      <c r="I858" s="4">
        <v>0</v>
      </c>
    </row>
    <row r="859" spans="1:9" x14ac:dyDescent="0.2">
      <c r="A859" s="2">
        <v>14</v>
      </c>
      <c r="B859" s="1" t="s">
        <v>109</v>
      </c>
      <c r="C859" s="4">
        <v>25</v>
      </c>
      <c r="D859" s="8">
        <v>2.09</v>
      </c>
      <c r="E859" s="4">
        <v>8</v>
      </c>
      <c r="F859" s="8">
        <v>1.02</v>
      </c>
      <c r="G859" s="4">
        <v>17</v>
      </c>
      <c r="H859" s="8">
        <v>4.25</v>
      </c>
      <c r="I859" s="4">
        <v>0</v>
      </c>
    </row>
    <row r="860" spans="1:9" x14ac:dyDescent="0.2">
      <c r="A860" s="2">
        <v>15</v>
      </c>
      <c r="B860" s="1" t="s">
        <v>103</v>
      </c>
      <c r="C860" s="4">
        <v>22</v>
      </c>
      <c r="D860" s="8">
        <v>1.84</v>
      </c>
      <c r="E860" s="4">
        <v>17</v>
      </c>
      <c r="F860" s="8">
        <v>2.16</v>
      </c>
      <c r="G860" s="4">
        <v>5</v>
      </c>
      <c r="H860" s="8">
        <v>1.25</v>
      </c>
      <c r="I860" s="4">
        <v>0</v>
      </c>
    </row>
    <row r="861" spans="1:9" x14ac:dyDescent="0.2">
      <c r="A861" s="2">
        <v>16</v>
      </c>
      <c r="B861" s="1" t="s">
        <v>110</v>
      </c>
      <c r="C861" s="4">
        <v>20</v>
      </c>
      <c r="D861" s="8">
        <v>1.68</v>
      </c>
      <c r="E861" s="4">
        <v>8</v>
      </c>
      <c r="F861" s="8">
        <v>1.02</v>
      </c>
      <c r="G861" s="4">
        <v>11</v>
      </c>
      <c r="H861" s="8">
        <v>2.75</v>
      </c>
      <c r="I861" s="4">
        <v>1</v>
      </c>
    </row>
    <row r="862" spans="1:9" x14ac:dyDescent="0.2">
      <c r="A862" s="2">
        <v>17</v>
      </c>
      <c r="B862" s="1" t="s">
        <v>112</v>
      </c>
      <c r="C862" s="4">
        <v>18</v>
      </c>
      <c r="D862" s="8">
        <v>1.51</v>
      </c>
      <c r="E862" s="4">
        <v>15</v>
      </c>
      <c r="F862" s="8">
        <v>1.91</v>
      </c>
      <c r="G862" s="4">
        <v>3</v>
      </c>
      <c r="H862" s="8">
        <v>0.75</v>
      </c>
      <c r="I862" s="4">
        <v>0</v>
      </c>
    </row>
    <row r="863" spans="1:9" x14ac:dyDescent="0.2">
      <c r="A863" s="2">
        <v>18</v>
      </c>
      <c r="B863" s="1" t="s">
        <v>96</v>
      </c>
      <c r="C863" s="4">
        <v>17</v>
      </c>
      <c r="D863" s="8">
        <v>1.42</v>
      </c>
      <c r="E863" s="4">
        <v>9</v>
      </c>
      <c r="F863" s="8">
        <v>1.1499999999999999</v>
      </c>
      <c r="G863" s="4">
        <v>8</v>
      </c>
      <c r="H863" s="8">
        <v>2</v>
      </c>
      <c r="I863" s="4">
        <v>0</v>
      </c>
    </row>
    <row r="864" spans="1:9" x14ac:dyDescent="0.2">
      <c r="A864" s="2">
        <v>19</v>
      </c>
      <c r="B864" s="1" t="s">
        <v>95</v>
      </c>
      <c r="C864" s="4">
        <v>16</v>
      </c>
      <c r="D864" s="8">
        <v>1.34</v>
      </c>
      <c r="E864" s="4">
        <v>12</v>
      </c>
      <c r="F864" s="8">
        <v>1.53</v>
      </c>
      <c r="G864" s="4">
        <v>4</v>
      </c>
      <c r="H864" s="8">
        <v>1</v>
      </c>
      <c r="I864" s="4">
        <v>0</v>
      </c>
    </row>
    <row r="865" spans="1:9" x14ac:dyDescent="0.2">
      <c r="A865" s="2">
        <v>20</v>
      </c>
      <c r="B865" s="1" t="s">
        <v>89</v>
      </c>
      <c r="C865" s="4">
        <v>15</v>
      </c>
      <c r="D865" s="8">
        <v>1.26</v>
      </c>
      <c r="E865" s="4">
        <v>10</v>
      </c>
      <c r="F865" s="8">
        <v>1.27</v>
      </c>
      <c r="G865" s="4">
        <v>5</v>
      </c>
      <c r="H865" s="8">
        <v>1.25</v>
      </c>
      <c r="I865" s="4">
        <v>0</v>
      </c>
    </row>
    <row r="866" spans="1:9" x14ac:dyDescent="0.2">
      <c r="A866" s="1"/>
      <c r="C866" s="4"/>
      <c r="D866" s="8"/>
      <c r="E866" s="4"/>
      <c r="F866" s="8"/>
      <c r="G866" s="4"/>
      <c r="H866" s="8"/>
      <c r="I866" s="4"/>
    </row>
    <row r="867" spans="1:9" x14ac:dyDescent="0.2">
      <c r="A867" s="1" t="s">
        <v>39</v>
      </c>
      <c r="C867" s="4"/>
      <c r="D867" s="8"/>
      <c r="E867" s="4"/>
      <c r="F867" s="8"/>
      <c r="G867" s="4"/>
      <c r="H867" s="8"/>
      <c r="I867" s="4"/>
    </row>
    <row r="868" spans="1:9" x14ac:dyDescent="0.2">
      <c r="A868" s="2">
        <v>1</v>
      </c>
      <c r="B868" s="1" t="s">
        <v>98</v>
      </c>
      <c r="C868" s="4">
        <v>123</v>
      </c>
      <c r="D868" s="8">
        <v>13.04</v>
      </c>
      <c r="E868" s="4">
        <v>117</v>
      </c>
      <c r="F868" s="8">
        <v>20.78</v>
      </c>
      <c r="G868" s="4">
        <v>6</v>
      </c>
      <c r="H868" s="8">
        <v>1.63</v>
      </c>
      <c r="I868" s="4">
        <v>0</v>
      </c>
    </row>
    <row r="869" spans="1:9" x14ac:dyDescent="0.2">
      <c r="A869" s="2">
        <v>2</v>
      </c>
      <c r="B869" s="1" t="s">
        <v>85</v>
      </c>
      <c r="C869" s="4">
        <v>94</v>
      </c>
      <c r="D869" s="8">
        <v>9.9700000000000006</v>
      </c>
      <c r="E869" s="4">
        <v>69</v>
      </c>
      <c r="F869" s="8">
        <v>12.26</v>
      </c>
      <c r="G869" s="4">
        <v>25</v>
      </c>
      <c r="H869" s="8">
        <v>6.79</v>
      </c>
      <c r="I869" s="4">
        <v>0</v>
      </c>
    </row>
    <row r="870" spans="1:9" x14ac:dyDescent="0.2">
      <c r="A870" s="2">
        <v>3</v>
      </c>
      <c r="B870" s="1" t="s">
        <v>84</v>
      </c>
      <c r="C870" s="4">
        <v>93</v>
      </c>
      <c r="D870" s="8">
        <v>9.86</v>
      </c>
      <c r="E870" s="4">
        <v>27</v>
      </c>
      <c r="F870" s="8">
        <v>4.8</v>
      </c>
      <c r="G870" s="4">
        <v>66</v>
      </c>
      <c r="H870" s="8">
        <v>17.93</v>
      </c>
      <c r="I870" s="4">
        <v>0</v>
      </c>
    </row>
    <row r="871" spans="1:9" x14ac:dyDescent="0.2">
      <c r="A871" s="2">
        <v>4</v>
      </c>
      <c r="B871" s="1" t="s">
        <v>97</v>
      </c>
      <c r="C871" s="4">
        <v>81</v>
      </c>
      <c r="D871" s="8">
        <v>8.59</v>
      </c>
      <c r="E871" s="4">
        <v>71</v>
      </c>
      <c r="F871" s="8">
        <v>12.61</v>
      </c>
      <c r="G871" s="4">
        <v>10</v>
      </c>
      <c r="H871" s="8">
        <v>2.72</v>
      </c>
      <c r="I871" s="4">
        <v>0</v>
      </c>
    </row>
    <row r="872" spans="1:9" x14ac:dyDescent="0.2">
      <c r="A872" s="2">
        <v>5</v>
      </c>
      <c r="B872" s="1" t="s">
        <v>92</v>
      </c>
      <c r="C872" s="4">
        <v>70</v>
      </c>
      <c r="D872" s="8">
        <v>7.42</v>
      </c>
      <c r="E872" s="4">
        <v>39</v>
      </c>
      <c r="F872" s="8">
        <v>6.93</v>
      </c>
      <c r="G872" s="4">
        <v>31</v>
      </c>
      <c r="H872" s="8">
        <v>8.42</v>
      </c>
      <c r="I872" s="4">
        <v>0</v>
      </c>
    </row>
    <row r="873" spans="1:9" x14ac:dyDescent="0.2">
      <c r="A873" s="2">
        <v>6</v>
      </c>
      <c r="B873" s="1" t="s">
        <v>90</v>
      </c>
      <c r="C873" s="4">
        <v>65</v>
      </c>
      <c r="D873" s="8">
        <v>6.89</v>
      </c>
      <c r="E873" s="4">
        <v>53</v>
      </c>
      <c r="F873" s="8">
        <v>9.41</v>
      </c>
      <c r="G873" s="4">
        <v>11</v>
      </c>
      <c r="H873" s="8">
        <v>2.99</v>
      </c>
      <c r="I873" s="4">
        <v>1</v>
      </c>
    </row>
    <row r="874" spans="1:9" x14ac:dyDescent="0.2">
      <c r="A874" s="2">
        <v>7</v>
      </c>
      <c r="B874" s="1" t="s">
        <v>86</v>
      </c>
      <c r="C874" s="4">
        <v>45</v>
      </c>
      <c r="D874" s="8">
        <v>4.7699999999999996</v>
      </c>
      <c r="E874" s="4">
        <v>19</v>
      </c>
      <c r="F874" s="8">
        <v>3.37</v>
      </c>
      <c r="G874" s="4">
        <v>26</v>
      </c>
      <c r="H874" s="8">
        <v>7.07</v>
      </c>
      <c r="I874" s="4">
        <v>0</v>
      </c>
    </row>
    <row r="875" spans="1:9" x14ac:dyDescent="0.2">
      <c r="A875" s="2">
        <v>8</v>
      </c>
      <c r="B875" s="1" t="s">
        <v>91</v>
      </c>
      <c r="C875" s="4">
        <v>33</v>
      </c>
      <c r="D875" s="8">
        <v>3.5</v>
      </c>
      <c r="E875" s="4">
        <v>20</v>
      </c>
      <c r="F875" s="8">
        <v>3.55</v>
      </c>
      <c r="G875" s="4">
        <v>13</v>
      </c>
      <c r="H875" s="8">
        <v>3.53</v>
      </c>
      <c r="I875" s="4">
        <v>0</v>
      </c>
    </row>
    <row r="876" spans="1:9" x14ac:dyDescent="0.2">
      <c r="A876" s="2">
        <v>9</v>
      </c>
      <c r="B876" s="1" t="s">
        <v>94</v>
      </c>
      <c r="C876" s="4">
        <v>29</v>
      </c>
      <c r="D876" s="8">
        <v>3.08</v>
      </c>
      <c r="E876" s="4">
        <v>8</v>
      </c>
      <c r="F876" s="8">
        <v>1.42</v>
      </c>
      <c r="G876" s="4">
        <v>20</v>
      </c>
      <c r="H876" s="8">
        <v>5.43</v>
      </c>
      <c r="I876" s="4">
        <v>0</v>
      </c>
    </row>
    <row r="877" spans="1:9" x14ac:dyDescent="0.2">
      <c r="A877" s="2">
        <v>10</v>
      </c>
      <c r="B877" s="1" t="s">
        <v>103</v>
      </c>
      <c r="C877" s="4">
        <v>27</v>
      </c>
      <c r="D877" s="8">
        <v>2.86</v>
      </c>
      <c r="E877" s="4">
        <v>22</v>
      </c>
      <c r="F877" s="8">
        <v>3.91</v>
      </c>
      <c r="G877" s="4">
        <v>5</v>
      </c>
      <c r="H877" s="8">
        <v>1.36</v>
      </c>
      <c r="I877" s="4">
        <v>0</v>
      </c>
    </row>
    <row r="878" spans="1:9" x14ac:dyDescent="0.2">
      <c r="A878" s="2">
        <v>11</v>
      </c>
      <c r="B878" s="1" t="s">
        <v>101</v>
      </c>
      <c r="C878" s="4">
        <v>21</v>
      </c>
      <c r="D878" s="8">
        <v>2.23</v>
      </c>
      <c r="E878" s="4">
        <v>20</v>
      </c>
      <c r="F878" s="8">
        <v>3.55</v>
      </c>
      <c r="G878" s="4">
        <v>1</v>
      </c>
      <c r="H878" s="8">
        <v>0.27</v>
      </c>
      <c r="I878" s="4">
        <v>0</v>
      </c>
    </row>
    <row r="879" spans="1:9" x14ac:dyDescent="0.2">
      <c r="A879" s="2">
        <v>12</v>
      </c>
      <c r="B879" s="1" t="s">
        <v>89</v>
      </c>
      <c r="C879" s="4">
        <v>20</v>
      </c>
      <c r="D879" s="8">
        <v>2.12</v>
      </c>
      <c r="E879" s="4">
        <v>9</v>
      </c>
      <c r="F879" s="8">
        <v>1.6</v>
      </c>
      <c r="G879" s="4">
        <v>11</v>
      </c>
      <c r="H879" s="8">
        <v>2.99</v>
      </c>
      <c r="I879" s="4">
        <v>0</v>
      </c>
    </row>
    <row r="880" spans="1:9" x14ac:dyDescent="0.2">
      <c r="A880" s="2">
        <v>12</v>
      </c>
      <c r="B880" s="1" t="s">
        <v>100</v>
      </c>
      <c r="C880" s="4">
        <v>20</v>
      </c>
      <c r="D880" s="8">
        <v>2.12</v>
      </c>
      <c r="E880" s="4">
        <v>14</v>
      </c>
      <c r="F880" s="8">
        <v>2.4900000000000002</v>
      </c>
      <c r="G880" s="4">
        <v>5</v>
      </c>
      <c r="H880" s="8">
        <v>1.36</v>
      </c>
      <c r="I880" s="4">
        <v>0</v>
      </c>
    </row>
    <row r="881" spans="1:9" x14ac:dyDescent="0.2">
      <c r="A881" s="2">
        <v>14</v>
      </c>
      <c r="B881" s="1" t="s">
        <v>110</v>
      </c>
      <c r="C881" s="4">
        <v>15</v>
      </c>
      <c r="D881" s="8">
        <v>1.59</v>
      </c>
      <c r="E881" s="4">
        <v>6</v>
      </c>
      <c r="F881" s="8">
        <v>1.07</v>
      </c>
      <c r="G881" s="4">
        <v>9</v>
      </c>
      <c r="H881" s="8">
        <v>2.4500000000000002</v>
      </c>
      <c r="I881" s="4">
        <v>0</v>
      </c>
    </row>
    <row r="882" spans="1:9" x14ac:dyDescent="0.2">
      <c r="A882" s="2">
        <v>14</v>
      </c>
      <c r="B882" s="1" t="s">
        <v>95</v>
      </c>
      <c r="C882" s="4">
        <v>15</v>
      </c>
      <c r="D882" s="8">
        <v>1.59</v>
      </c>
      <c r="E882" s="4">
        <v>11</v>
      </c>
      <c r="F882" s="8">
        <v>1.95</v>
      </c>
      <c r="G882" s="4">
        <v>4</v>
      </c>
      <c r="H882" s="8">
        <v>1.0900000000000001</v>
      </c>
      <c r="I882" s="4">
        <v>0</v>
      </c>
    </row>
    <row r="883" spans="1:9" x14ac:dyDescent="0.2">
      <c r="A883" s="2">
        <v>14</v>
      </c>
      <c r="B883" s="1" t="s">
        <v>96</v>
      </c>
      <c r="C883" s="4">
        <v>15</v>
      </c>
      <c r="D883" s="8">
        <v>1.59</v>
      </c>
      <c r="E883" s="4">
        <v>6</v>
      </c>
      <c r="F883" s="8">
        <v>1.07</v>
      </c>
      <c r="G883" s="4">
        <v>9</v>
      </c>
      <c r="H883" s="8">
        <v>2.4500000000000002</v>
      </c>
      <c r="I883" s="4">
        <v>0</v>
      </c>
    </row>
    <row r="884" spans="1:9" x14ac:dyDescent="0.2">
      <c r="A884" s="2">
        <v>17</v>
      </c>
      <c r="B884" s="1" t="s">
        <v>99</v>
      </c>
      <c r="C884" s="4">
        <v>13</v>
      </c>
      <c r="D884" s="8">
        <v>1.38</v>
      </c>
      <c r="E884" s="4">
        <v>7</v>
      </c>
      <c r="F884" s="8">
        <v>1.24</v>
      </c>
      <c r="G884" s="4">
        <v>6</v>
      </c>
      <c r="H884" s="8">
        <v>1.63</v>
      </c>
      <c r="I884" s="4">
        <v>0</v>
      </c>
    </row>
    <row r="885" spans="1:9" x14ac:dyDescent="0.2">
      <c r="A885" s="2">
        <v>18</v>
      </c>
      <c r="B885" s="1" t="s">
        <v>109</v>
      </c>
      <c r="C885" s="4">
        <v>12</v>
      </c>
      <c r="D885" s="8">
        <v>1.27</v>
      </c>
      <c r="E885" s="4">
        <v>5</v>
      </c>
      <c r="F885" s="8">
        <v>0.89</v>
      </c>
      <c r="G885" s="4">
        <v>7</v>
      </c>
      <c r="H885" s="8">
        <v>1.9</v>
      </c>
      <c r="I885" s="4">
        <v>0</v>
      </c>
    </row>
    <row r="886" spans="1:9" x14ac:dyDescent="0.2">
      <c r="A886" s="2">
        <v>19</v>
      </c>
      <c r="B886" s="1" t="s">
        <v>93</v>
      </c>
      <c r="C886" s="4">
        <v>11</v>
      </c>
      <c r="D886" s="8">
        <v>1.17</v>
      </c>
      <c r="E886" s="4">
        <v>0</v>
      </c>
      <c r="F886" s="8">
        <v>0</v>
      </c>
      <c r="G886" s="4">
        <v>11</v>
      </c>
      <c r="H886" s="8">
        <v>2.99</v>
      </c>
      <c r="I886" s="4">
        <v>0</v>
      </c>
    </row>
    <row r="887" spans="1:9" x14ac:dyDescent="0.2">
      <c r="A887" s="2">
        <v>20</v>
      </c>
      <c r="B887" s="1" t="s">
        <v>87</v>
      </c>
      <c r="C887" s="4">
        <v>9</v>
      </c>
      <c r="D887" s="8">
        <v>0.95</v>
      </c>
      <c r="E887" s="4">
        <v>3</v>
      </c>
      <c r="F887" s="8">
        <v>0.53</v>
      </c>
      <c r="G887" s="4">
        <v>6</v>
      </c>
      <c r="H887" s="8">
        <v>1.63</v>
      </c>
      <c r="I887" s="4">
        <v>0</v>
      </c>
    </row>
    <row r="888" spans="1:9" x14ac:dyDescent="0.2">
      <c r="A888" s="2">
        <v>20</v>
      </c>
      <c r="B888" s="1" t="s">
        <v>104</v>
      </c>
      <c r="C888" s="4">
        <v>9</v>
      </c>
      <c r="D888" s="8">
        <v>0.95</v>
      </c>
      <c r="E888" s="4">
        <v>2</v>
      </c>
      <c r="F888" s="8">
        <v>0.36</v>
      </c>
      <c r="G888" s="4">
        <v>7</v>
      </c>
      <c r="H888" s="8">
        <v>1.9</v>
      </c>
      <c r="I888" s="4">
        <v>0</v>
      </c>
    </row>
    <row r="889" spans="1:9" x14ac:dyDescent="0.2">
      <c r="A889" s="1"/>
      <c r="C889" s="4"/>
      <c r="D889" s="8"/>
      <c r="E889" s="4"/>
      <c r="F889" s="8"/>
      <c r="G889" s="4"/>
      <c r="H889" s="8"/>
      <c r="I889" s="4"/>
    </row>
    <row r="890" spans="1:9" x14ac:dyDescent="0.2">
      <c r="A890" s="1" t="s">
        <v>40</v>
      </c>
      <c r="C890" s="4"/>
      <c r="D890" s="8"/>
      <c r="E890" s="4"/>
      <c r="F890" s="8"/>
      <c r="G890" s="4"/>
      <c r="H890" s="8"/>
      <c r="I890" s="4"/>
    </row>
    <row r="891" spans="1:9" x14ac:dyDescent="0.2">
      <c r="A891" s="2">
        <v>1</v>
      </c>
      <c r="B891" s="1" t="s">
        <v>98</v>
      </c>
      <c r="C891" s="4">
        <v>213</v>
      </c>
      <c r="D891" s="8">
        <v>10.81</v>
      </c>
      <c r="E891" s="4">
        <v>189</v>
      </c>
      <c r="F891" s="8">
        <v>16.309999999999999</v>
      </c>
      <c r="G891" s="4">
        <v>24</v>
      </c>
      <c r="H891" s="8">
        <v>3</v>
      </c>
      <c r="I891" s="4">
        <v>0</v>
      </c>
    </row>
    <row r="892" spans="1:9" x14ac:dyDescent="0.2">
      <c r="A892" s="2">
        <v>2</v>
      </c>
      <c r="B892" s="1" t="s">
        <v>92</v>
      </c>
      <c r="C892" s="4">
        <v>190</v>
      </c>
      <c r="D892" s="8">
        <v>9.64</v>
      </c>
      <c r="E892" s="4">
        <v>113</v>
      </c>
      <c r="F892" s="8">
        <v>9.75</v>
      </c>
      <c r="G892" s="4">
        <v>77</v>
      </c>
      <c r="H892" s="8">
        <v>9.61</v>
      </c>
      <c r="I892" s="4">
        <v>0</v>
      </c>
    </row>
    <row r="893" spans="1:9" x14ac:dyDescent="0.2">
      <c r="A893" s="2">
        <v>3</v>
      </c>
      <c r="B893" s="1" t="s">
        <v>97</v>
      </c>
      <c r="C893" s="4">
        <v>180</v>
      </c>
      <c r="D893" s="8">
        <v>9.14</v>
      </c>
      <c r="E893" s="4">
        <v>164</v>
      </c>
      <c r="F893" s="8">
        <v>14.15</v>
      </c>
      <c r="G893" s="4">
        <v>16</v>
      </c>
      <c r="H893" s="8">
        <v>2</v>
      </c>
      <c r="I893" s="4">
        <v>0</v>
      </c>
    </row>
    <row r="894" spans="1:9" x14ac:dyDescent="0.2">
      <c r="A894" s="2">
        <v>4</v>
      </c>
      <c r="B894" s="1" t="s">
        <v>84</v>
      </c>
      <c r="C894" s="4">
        <v>156</v>
      </c>
      <c r="D894" s="8">
        <v>7.92</v>
      </c>
      <c r="E894" s="4">
        <v>60</v>
      </c>
      <c r="F894" s="8">
        <v>5.18</v>
      </c>
      <c r="G894" s="4">
        <v>96</v>
      </c>
      <c r="H894" s="8">
        <v>11.99</v>
      </c>
      <c r="I894" s="4">
        <v>0</v>
      </c>
    </row>
    <row r="895" spans="1:9" x14ac:dyDescent="0.2">
      <c r="A895" s="2">
        <v>5</v>
      </c>
      <c r="B895" s="1" t="s">
        <v>85</v>
      </c>
      <c r="C895" s="4">
        <v>147</v>
      </c>
      <c r="D895" s="8">
        <v>7.46</v>
      </c>
      <c r="E895" s="4">
        <v>83</v>
      </c>
      <c r="F895" s="8">
        <v>7.16</v>
      </c>
      <c r="G895" s="4">
        <v>64</v>
      </c>
      <c r="H895" s="8">
        <v>7.99</v>
      </c>
      <c r="I895" s="4">
        <v>0</v>
      </c>
    </row>
    <row r="896" spans="1:9" x14ac:dyDescent="0.2">
      <c r="A896" s="2">
        <v>6</v>
      </c>
      <c r="B896" s="1" t="s">
        <v>90</v>
      </c>
      <c r="C896" s="4">
        <v>130</v>
      </c>
      <c r="D896" s="8">
        <v>6.6</v>
      </c>
      <c r="E896" s="4">
        <v>103</v>
      </c>
      <c r="F896" s="8">
        <v>8.89</v>
      </c>
      <c r="G896" s="4">
        <v>27</v>
      </c>
      <c r="H896" s="8">
        <v>3.37</v>
      </c>
      <c r="I896" s="4">
        <v>0</v>
      </c>
    </row>
    <row r="897" spans="1:9" x14ac:dyDescent="0.2">
      <c r="A897" s="2">
        <v>7</v>
      </c>
      <c r="B897" s="1" t="s">
        <v>86</v>
      </c>
      <c r="C897" s="4">
        <v>96</v>
      </c>
      <c r="D897" s="8">
        <v>4.87</v>
      </c>
      <c r="E897" s="4">
        <v>34</v>
      </c>
      <c r="F897" s="8">
        <v>2.93</v>
      </c>
      <c r="G897" s="4">
        <v>62</v>
      </c>
      <c r="H897" s="8">
        <v>7.74</v>
      </c>
      <c r="I897" s="4">
        <v>0</v>
      </c>
    </row>
    <row r="898" spans="1:9" x14ac:dyDescent="0.2">
      <c r="A898" s="2">
        <v>8</v>
      </c>
      <c r="B898" s="1" t="s">
        <v>94</v>
      </c>
      <c r="C898" s="4">
        <v>94</v>
      </c>
      <c r="D898" s="8">
        <v>4.7699999999999996</v>
      </c>
      <c r="E898" s="4">
        <v>45</v>
      </c>
      <c r="F898" s="8">
        <v>3.88</v>
      </c>
      <c r="G898" s="4">
        <v>49</v>
      </c>
      <c r="H898" s="8">
        <v>6.12</v>
      </c>
      <c r="I898" s="4">
        <v>0</v>
      </c>
    </row>
    <row r="899" spans="1:9" x14ac:dyDescent="0.2">
      <c r="A899" s="2">
        <v>9</v>
      </c>
      <c r="B899" s="1" t="s">
        <v>91</v>
      </c>
      <c r="C899" s="4">
        <v>75</v>
      </c>
      <c r="D899" s="8">
        <v>3.81</v>
      </c>
      <c r="E899" s="4">
        <v>48</v>
      </c>
      <c r="F899" s="8">
        <v>4.1399999999999997</v>
      </c>
      <c r="G899" s="4">
        <v>27</v>
      </c>
      <c r="H899" s="8">
        <v>3.37</v>
      </c>
      <c r="I899" s="4">
        <v>0</v>
      </c>
    </row>
    <row r="900" spans="1:9" x14ac:dyDescent="0.2">
      <c r="A900" s="2">
        <v>10</v>
      </c>
      <c r="B900" s="1" t="s">
        <v>89</v>
      </c>
      <c r="C900" s="4">
        <v>58</v>
      </c>
      <c r="D900" s="8">
        <v>2.94</v>
      </c>
      <c r="E900" s="4">
        <v>27</v>
      </c>
      <c r="F900" s="8">
        <v>2.33</v>
      </c>
      <c r="G900" s="4">
        <v>31</v>
      </c>
      <c r="H900" s="8">
        <v>3.87</v>
      </c>
      <c r="I900" s="4">
        <v>0</v>
      </c>
    </row>
    <row r="901" spans="1:9" x14ac:dyDescent="0.2">
      <c r="A901" s="2">
        <v>10</v>
      </c>
      <c r="B901" s="1" t="s">
        <v>103</v>
      </c>
      <c r="C901" s="4">
        <v>58</v>
      </c>
      <c r="D901" s="8">
        <v>2.94</v>
      </c>
      <c r="E901" s="4">
        <v>52</v>
      </c>
      <c r="F901" s="8">
        <v>4.49</v>
      </c>
      <c r="G901" s="4">
        <v>6</v>
      </c>
      <c r="H901" s="8">
        <v>0.75</v>
      </c>
      <c r="I901" s="4">
        <v>0</v>
      </c>
    </row>
    <row r="902" spans="1:9" x14ac:dyDescent="0.2">
      <c r="A902" s="2">
        <v>12</v>
      </c>
      <c r="B902" s="1" t="s">
        <v>101</v>
      </c>
      <c r="C902" s="4">
        <v>54</v>
      </c>
      <c r="D902" s="8">
        <v>2.74</v>
      </c>
      <c r="E902" s="4">
        <v>50</v>
      </c>
      <c r="F902" s="8">
        <v>4.3099999999999996</v>
      </c>
      <c r="G902" s="4">
        <v>4</v>
      </c>
      <c r="H902" s="8">
        <v>0.5</v>
      </c>
      <c r="I902" s="4">
        <v>0</v>
      </c>
    </row>
    <row r="903" spans="1:9" x14ac:dyDescent="0.2">
      <c r="A903" s="2">
        <v>13</v>
      </c>
      <c r="B903" s="1" t="s">
        <v>87</v>
      </c>
      <c r="C903" s="4">
        <v>52</v>
      </c>
      <c r="D903" s="8">
        <v>2.64</v>
      </c>
      <c r="E903" s="4">
        <v>21</v>
      </c>
      <c r="F903" s="8">
        <v>1.81</v>
      </c>
      <c r="G903" s="4">
        <v>31</v>
      </c>
      <c r="H903" s="8">
        <v>3.87</v>
      </c>
      <c r="I903" s="4">
        <v>0</v>
      </c>
    </row>
    <row r="904" spans="1:9" x14ac:dyDescent="0.2">
      <c r="A904" s="2">
        <v>14</v>
      </c>
      <c r="B904" s="1" t="s">
        <v>100</v>
      </c>
      <c r="C904" s="4">
        <v>41</v>
      </c>
      <c r="D904" s="8">
        <v>2.08</v>
      </c>
      <c r="E904" s="4">
        <v>26</v>
      </c>
      <c r="F904" s="8">
        <v>2.2400000000000002</v>
      </c>
      <c r="G904" s="4">
        <v>13</v>
      </c>
      <c r="H904" s="8">
        <v>1.62</v>
      </c>
      <c r="I904" s="4">
        <v>0</v>
      </c>
    </row>
    <row r="905" spans="1:9" x14ac:dyDescent="0.2">
      <c r="A905" s="2">
        <v>15</v>
      </c>
      <c r="B905" s="1" t="s">
        <v>96</v>
      </c>
      <c r="C905" s="4">
        <v>34</v>
      </c>
      <c r="D905" s="8">
        <v>1.73</v>
      </c>
      <c r="E905" s="4">
        <v>16</v>
      </c>
      <c r="F905" s="8">
        <v>1.38</v>
      </c>
      <c r="G905" s="4">
        <v>17</v>
      </c>
      <c r="H905" s="8">
        <v>2.12</v>
      </c>
      <c r="I905" s="4">
        <v>0</v>
      </c>
    </row>
    <row r="906" spans="1:9" x14ac:dyDescent="0.2">
      <c r="A906" s="2">
        <v>16</v>
      </c>
      <c r="B906" s="1" t="s">
        <v>95</v>
      </c>
      <c r="C906" s="4">
        <v>33</v>
      </c>
      <c r="D906" s="8">
        <v>1.68</v>
      </c>
      <c r="E906" s="4">
        <v>23</v>
      </c>
      <c r="F906" s="8">
        <v>1.98</v>
      </c>
      <c r="G906" s="4">
        <v>10</v>
      </c>
      <c r="H906" s="8">
        <v>1.25</v>
      </c>
      <c r="I906" s="4">
        <v>0</v>
      </c>
    </row>
    <row r="907" spans="1:9" x14ac:dyDescent="0.2">
      <c r="A907" s="2">
        <v>17</v>
      </c>
      <c r="B907" s="1" t="s">
        <v>99</v>
      </c>
      <c r="C907" s="4">
        <v>25</v>
      </c>
      <c r="D907" s="8">
        <v>1.27</v>
      </c>
      <c r="E907" s="4">
        <v>14</v>
      </c>
      <c r="F907" s="8">
        <v>1.21</v>
      </c>
      <c r="G907" s="4">
        <v>11</v>
      </c>
      <c r="H907" s="8">
        <v>1.37</v>
      </c>
      <c r="I907" s="4">
        <v>0</v>
      </c>
    </row>
    <row r="908" spans="1:9" x14ac:dyDescent="0.2">
      <c r="A908" s="2">
        <v>18</v>
      </c>
      <c r="B908" s="1" t="s">
        <v>109</v>
      </c>
      <c r="C908" s="4">
        <v>24</v>
      </c>
      <c r="D908" s="8">
        <v>1.22</v>
      </c>
      <c r="E908" s="4">
        <v>8</v>
      </c>
      <c r="F908" s="8">
        <v>0.69</v>
      </c>
      <c r="G908" s="4">
        <v>16</v>
      </c>
      <c r="H908" s="8">
        <v>2</v>
      </c>
      <c r="I908" s="4">
        <v>0</v>
      </c>
    </row>
    <row r="909" spans="1:9" x14ac:dyDescent="0.2">
      <c r="A909" s="2">
        <v>19</v>
      </c>
      <c r="B909" s="1" t="s">
        <v>104</v>
      </c>
      <c r="C909" s="4">
        <v>23</v>
      </c>
      <c r="D909" s="8">
        <v>1.17</v>
      </c>
      <c r="E909" s="4">
        <v>5</v>
      </c>
      <c r="F909" s="8">
        <v>0.43</v>
      </c>
      <c r="G909" s="4">
        <v>18</v>
      </c>
      <c r="H909" s="8">
        <v>2.25</v>
      </c>
      <c r="I909" s="4">
        <v>0</v>
      </c>
    </row>
    <row r="910" spans="1:9" x14ac:dyDescent="0.2">
      <c r="A910" s="2">
        <v>20</v>
      </c>
      <c r="B910" s="1" t="s">
        <v>110</v>
      </c>
      <c r="C910" s="4">
        <v>18</v>
      </c>
      <c r="D910" s="8">
        <v>0.91</v>
      </c>
      <c r="E910" s="4">
        <v>9</v>
      </c>
      <c r="F910" s="8">
        <v>0.78</v>
      </c>
      <c r="G910" s="4">
        <v>9</v>
      </c>
      <c r="H910" s="8">
        <v>1.1200000000000001</v>
      </c>
      <c r="I910" s="4">
        <v>0</v>
      </c>
    </row>
    <row r="911" spans="1:9" x14ac:dyDescent="0.2">
      <c r="A911" s="1"/>
      <c r="C911" s="4"/>
      <c r="D911" s="8"/>
      <c r="E911" s="4"/>
      <c r="F911" s="8"/>
      <c r="G911" s="4"/>
      <c r="H911" s="8"/>
      <c r="I911" s="4"/>
    </row>
    <row r="912" spans="1:9" x14ac:dyDescent="0.2">
      <c r="A912" s="1" t="s">
        <v>41</v>
      </c>
      <c r="C912" s="4"/>
      <c r="D912" s="8"/>
      <c r="E912" s="4"/>
      <c r="F912" s="8"/>
      <c r="G912" s="4"/>
      <c r="H912" s="8"/>
      <c r="I912" s="4"/>
    </row>
    <row r="913" spans="1:9" x14ac:dyDescent="0.2">
      <c r="A913" s="2">
        <v>1</v>
      </c>
      <c r="B913" s="1" t="s">
        <v>98</v>
      </c>
      <c r="C913" s="4">
        <v>101</v>
      </c>
      <c r="D913" s="8">
        <v>10.65</v>
      </c>
      <c r="E913" s="4">
        <v>91</v>
      </c>
      <c r="F913" s="8">
        <v>19.61</v>
      </c>
      <c r="G913" s="4">
        <v>10</v>
      </c>
      <c r="H913" s="8">
        <v>2.1</v>
      </c>
      <c r="I913" s="4">
        <v>0</v>
      </c>
    </row>
    <row r="914" spans="1:9" x14ac:dyDescent="0.2">
      <c r="A914" s="2">
        <v>2</v>
      </c>
      <c r="B914" s="1" t="s">
        <v>84</v>
      </c>
      <c r="C914" s="4">
        <v>96</v>
      </c>
      <c r="D914" s="8">
        <v>10.130000000000001</v>
      </c>
      <c r="E914" s="4">
        <v>29</v>
      </c>
      <c r="F914" s="8">
        <v>6.25</v>
      </c>
      <c r="G914" s="4">
        <v>67</v>
      </c>
      <c r="H914" s="8">
        <v>14.05</v>
      </c>
      <c r="I914" s="4">
        <v>0</v>
      </c>
    </row>
    <row r="915" spans="1:9" x14ac:dyDescent="0.2">
      <c r="A915" s="2">
        <v>3</v>
      </c>
      <c r="B915" s="1" t="s">
        <v>97</v>
      </c>
      <c r="C915" s="4">
        <v>88</v>
      </c>
      <c r="D915" s="8">
        <v>9.2799999999999994</v>
      </c>
      <c r="E915" s="4">
        <v>80</v>
      </c>
      <c r="F915" s="8">
        <v>17.239999999999998</v>
      </c>
      <c r="G915" s="4">
        <v>8</v>
      </c>
      <c r="H915" s="8">
        <v>1.68</v>
      </c>
      <c r="I915" s="4">
        <v>0</v>
      </c>
    </row>
    <row r="916" spans="1:9" x14ac:dyDescent="0.2">
      <c r="A916" s="2">
        <v>4</v>
      </c>
      <c r="B916" s="1" t="s">
        <v>92</v>
      </c>
      <c r="C916" s="4">
        <v>69</v>
      </c>
      <c r="D916" s="8">
        <v>7.28</v>
      </c>
      <c r="E916" s="4">
        <v>29</v>
      </c>
      <c r="F916" s="8">
        <v>6.25</v>
      </c>
      <c r="G916" s="4">
        <v>40</v>
      </c>
      <c r="H916" s="8">
        <v>8.39</v>
      </c>
      <c r="I916" s="4">
        <v>0</v>
      </c>
    </row>
    <row r="917" spans="1:9" x14ac:dyDescent="0.2">
      <c r="A917" s="2">
        <v>5</v>
      </c>
      <c r="B917" s="1" t="s">
        <v>85</v>
      </c>
      <c r="C917" s="4">
        <v>56</v>
      </c>
      <c r="D917" s="8">
        <v>5.91</v>
      </c>
      <c r="E917" s="4">
        <v>24</v>
      </c>
      <c r="F917" s="8">
        <v>5.17</v>
      </c>
      <c r="G917" s="4">
        <v>32</v>
      </c>
      <c r="H917" s="8">
        <v>6.71</v>
      </c>
      <c r="I917" s="4">
        <v>0</v>
      </c>
    </row>
    <row r="918" spans="1:9" x14ac:dyDescent="0.2">
      <c r="A918" s="2">
        <v>6</v>
      </c>
      <c r="B918" s="1" t="s">
        <v>86</v>
      </c>
      <c r="C918" s="4">
        <v>41</v>
      </c>
      <c r="D918" s="8">
        <v>4.32</v>
      </c>
      <c r="E918" s="4">
        <v>14</v>
      </c>
      <c r="F918" s="8">
        <v>3.02</v>
      </c>
      <c r="G918" s="4">
        <v>27</v>
      </c>
      <c r="H918" s="8">
        <v>5.66</v>
      </c>
      <c r="I918" s="4">
        <v>0</v>
      </c>
    </row>
    <row r="919" spans="1:9" x14ac:dyDescent="0.2">
      <c r="A919" s="2">
        <v>7</v>
      </c>
      <c r="B919" s="1" t="s">
        <v>90</v>
      </c>
      <c r="C919" s="4">
        <v>35</v>
      </c>
      <c r="D919" s="8">
        <v>3.69</v>
      </c>
      <c r="E919" s="4">
        <v>25</v>
      </c>
      <c r="F919" s="8">
        <v>5.39</v>
      </c>
      <c r="G919" s="4">
        <v>10</v>
      </c>
      <c r="H919" s="8">
        <v>2.1</v>
      </c>
      <c r="I919" s="4">
        <v>0</v>
      </c>
    </row>
    <row r="920" spans="1:9" x14ac:dyDescent="0.2">
      <c r="A920" s="2">
        <v>7</v>
      </c>
      <c r="B920" s="1" t="s">
        <v>94</v>
      </c>
      <c r="C920" s="4">
        <v>35</v>
      </c>
      <c r="D920" s="8">
        <v>3.69</v>
      </c>
      <c r="E920" s="4">
        <v>15</v>
      </c>
      <c r="F920" s="8">
        <v>3.23</v>
      </c>
      <c r="G920" s="4">
        <v>20</v>
      </c>
      <c r="H920" s="8">
        <v>4.1900000000000004</v>
      </c>
      <c r="I920" s="4">
        <v>0</v>
      </c>
    </row>
    <row r="921" spans="1:9" x14ac:dyDescent="0.2">
      <c r="A921" s="2">
        <v>9</v>
      </c>
      <c r="B921" s="1" t="s">
        <v>103</v>
      </c>
      <c r="C921" s="4">
        <v>32</v>
      </c>
      <c r="D921" s="8">
        <v>3.38</v>
      </c>
      <c r="E921" s="4">
        <v>25</v>
      </c>
      <c r="F921" s="8">
        <v>5.39</v>
      </c>
      <c r="G921" s="4">
        <v>7</v>
      </c>
      <c r="H921" s="8">
        <v>1.47</v>
      </c>
      <c r="I921" s="4">
        <v>0</v>
      </c>
    </row>
    <row r="922" spans="1:9" x14ac:dyDescent="0.2">
      <c r="A922" s="2">
        <v>10</v>
      </c>
      <c r="B922" s="1" t="s">
        <v>101</v>
      </c>
      <c r="C922" s="4">
        <v>29</v>
      </c>
      <c r="D922" s="8">
        <v>3.06</v>
      </c>
      <c r="E922" s="4">
        <v>25</v>
      </c>
      <c r="F922" s="8">
        <v>5.39</v>
      </c>
      <c r="G922" s="4">
        <v>4</v>
      </c>
      <c r="H922" s="8">
        <v>0.84</v>
      </c>
      <c r="I922" s="4">
        <v>0</v>
      </c>
    </row>
    <row r="923" spans="1:9" x14ac:dyDescent="0.2">
      <c r="A923" s="2">
        <v>11</v>
      </c>
      <c r="B923" s="1" t="s">
        <v>91</v>
      </c>
      <c r="C923" s="4">
        <v>28</v>
      </c>
      <c r="D923" s="8">
        <v>2.95</v>
      </c>
      <c r="E923" s="4">
        <v>17</v>
      </c>
      <c r="F923" s="8">
        <v>3.66</v>
      </c>
      <c r="G923" s="4">
        <v>11</v>
      </c>
      <c r="H923" s="8">
        <v>2.31</v>
      </c>
      <c r="I923" s="4">
        <v>0</v>
      </c>
    </row>
    <row r="924" spans="1:9" x14ac:dyDescent="0.2">
      <c r="A924" s="2">
        <v>12</v>
      </c>
      <c r="B924" s="1" t="s">
        <v>106</v>
      </c>
      <c r="C924" s="4">
        <v>21</v>
      </c>
      <c r="D924" s="8">
        <v>2.2200000000000002</v>
      </c>
      <c r="E924" s="4">
        <v>5</v>
      </c>
      <c r="F924" s="8">
        <v>1.08</v>
      </c>
      <c r="G924" s="4">
        <v>16</v>
      </c>
      <c r="H924" s="8">
        <v>3.35</v>
      </c>
      <c r="I924" s="4">
        <v>0</v>
      </c>
    </row>
    <row r="925" spans="1:9" x14ac:dyDescent="0.2">
      <c r="A925" s="2">
        <v>13</v>
      </c>
      <c r="B925" s="1" t="s">
        <v>95</v>
      </c>
      <c r="C925" s="4">
        <v>20</v>
      </c>
      <c r="D925" s="8">
        <v>2.11</v>
      </c>
      <c r="E925" s="4">
        <v>13</v>
      </c>
      <c r="F925" s="8">
        <v>2.8</v>
      </c>
      <c r="G925" s="4">
        <v>7</v>
      </c>
      <c r="H925" s="8">
        <v>1.47</v>
      </c>
      <c r="I925" s="4">
        <v>0</v>
      </c>
    </row>
    <row r="926" spans="1:9" x14ac:dyDescent="0.2">
      <c r="A926" s="2">
        <v>14</v>
      </c>
      <c r="B926" s="1" t="s">
        <v>87</v>
      </c>
      <c r="C926" s="4">
        <v>16</v>
      </c>
      <c r="D926" s="8">
        <v>1.69</v>
      </c>
      <c r="E926" s="4">
        <v>6</v>
      </c>
      <c r="F926" s="8">
        <v>1.29</v>
      </c>
      <c r="G926" s="4">
        <v>10</v>
      </c>
      <c r="H926" s="8">
        <v>2.1</v>
      </c>
      <c r="I926" s="4">
        <v>0</v>
      </c>
    </row>
    <row r="927" spans="1:9" x14ac:dyDescent="0.2">
      <c r="A927" s="2">
        <v>15</v>
      </c>
      <c r="B927" s="1" t="s">
        <v>116</v>
      </c>
      <c r="C927" s="4">
        <v>14</v>
      </c>
      <c r="D927" s="8">
        <v>1.48</v>
      </c>
      <c r="E927" s="4">
        <v>6</v>
      </c>
      <c r="F927" s="8">
        <v>1.29</v>
      </c>
      <c r="G927" s="4">
        <v>8</v>
      </c>
      <c r="H927" s="8">
        <v>1.68</v>
      </c>
      <c r="I927" s="4">
        <v>0</v>
      </c>
    </row>
    <row r="928" spans="1:9" x14ac:dyDescent="0.2">
      <c r="A928" s="2">
        <v>15</v>
      </c>
      <c r="B928" s="1" t="s">
        <v>96</v>
      </c>
      <c r="C928" s="4">
        <v>14</v>
      </c>
      <c r="D928" s="8">
        <v>1.48</v>
      </c>
      <c r="E928" s="4">
        <v>5</v>
      </c>
      <c r="F928" s="8">
        <v>1.08</v>
      </c>
      <c r="G928" s="4">
        <v>8</v>
      </c>
      <c r="H928" s="8">
        <v>1.68</v>
      </c>
      <c r="I928" s="4">
        <v>1</v>
      </c>
    </row>
    <row r="929" spans="1:9" x14ac:dyDescent="0.2">
      <c r="A929" s="2">
        <v>17</v>
      </c>
      <c r="B929" s="1" t="s">
        <v>89</v>
      </c>
      <c r="C929" s="4">
        <v>13</v>
      </c>
      <c r="D929" s="8">
        <v>1.37</v>
      </c>
      <c r="E929" s="4">
        <v>7</v>
      </c>
      <c r="F929" s="8">
        <v>1.51</v>
      </c>
      <c r="G929" s="4">
        <v>6</v>
      </c>
      <c r="H929" s="8">
        <v>1.26</v>
      </c>
      <c r="I929" s="4">
        <v>0</v>
      </c>
    </row>
    <row r="930" spans="1:9" x14ac:dyDescent="0.2">
      <c r="A930" s="2">
        <v>17</v>
      </c>
      <c r="B930" s="1" t="s">
        <v>102</v>
      </c>
      <c r="C930" s="4">
        <v>13</v>
      </c>
      <c r="D930" s="8">
        <v>1.37</v>
      </c>
      <c r="E930" s="4">
        <v>0</v>
      </c>
      <c r="F930" s="8">
        <v>0</v>
      </c>
      <c r="G930" s="4">
        <v>10</v>
      </c>
      <c r="H930" s="8">
        <v>2.1</v>
      </c>
      <c r="I930" s="4">
        <v>0</v>
      </c>
    </row>
    <row r="931" spans="1:9" x14ac:dyDescent="0.2">
      <c r="A931" s="2">
        <v>19</v>
      </c>
      <c r="B931" s="1" t="s">
        <v>104</v>
      </c>
      <c r="C931" s="4">
        <v>12</v>
      </c>
      <c r="D931" s="8">
        <v>1.27</v>
      </c>
      <c r="E931" s="4">
        <v>1</v>
      </c>
      <c r="F931" s="8">
        <v>0.22</v>
      </c>
      <c r="G931" s="4">
        <v>11</v>
      </c>
      <c r="H931" s="8">
        <v>2.31</v>
      </c>
      <c r="I931" s="4">
        <v>0</v>
      </c>
    </row>
    <row r="932" spans="1:9" x14ac:dyDescent="0.2">
      <c r="A932" s="2">
        <v>19</v>
      </c>
      <c r="B932" s="1" t="s">
        <v>105</v>
      </c>
      <c r="C932" s="4">
        <v>12</v>
      </c>
      <c r="D932" s="8">
        <v>1.27</v>
      </c>
      <c r="E932" s="4">
        <v>0</v>
      </c>
      <c r="F932" s="8">
        <v>0</v>
      </c>
      <c r="G932" s="4">
        <v>12</v>
      </c>
      <c r="H932" s="8">
        <v>2.52</v>
      </c>
      <c r="I932" s="4">
        <v>0</v>
      </c>
    </row>
    <row r="933" spans="1:9" x14ac:dyDescent="0.2">
      <c r="A933" s="1"/>
      <c r="C933" s="4"/>
      <c r="D933" s="8"/>
      <c r="E933" s="4"/>
      <c r="F933" s="8"/>
      <c r="G933" s="4"/>
      <c r="H933" s="8"/>
      <c r="I933" s="4"/>
    </row>
    <row r="934" spans="1:9" x14ac:dyDescent="0.2">
      <c r="A934" s="1" t="s">
        <v>42</v>
      </c>
      <c r="C934" s="4"/>
      <c r="D934" s="8"/>
      <c r="E934" s="4"/>
      <c r="F934" s="8"/>
      <c r="G934" s="4"/>
      <c r="H934" s="8"/>
      <c r="I934" s="4"/>
    </row>
    <row r="935" spans="1:9" x14ac:dyDescent="0.2">
      <c r="A935" s="2">
        <v>1</v>
      </c>
      <c r="B935" s="1" t="s">
        <v>98</v>
      </c>
      <c r="C935" s="4">
        <v>111</v>
      </c>
      <c r="D935" s="8">
        <v>11.83</v>
      </c>
      <c r="E935" s="4">
        <v>102</v>
      </c>
      <c r="F935" s="8">
        <v>18.510000000000002</v>
      </c>
      <c r="G935" s="4">
        <v>9</v>
      </c>
      <c r="H935" s="8">
        <v>2.37</v>
      </c>
      <c r="I935" s="4">
        <v>0</v>
      </c>
    </row>
    <row r="936" spans="1:9" x14ac:dyDescent="0.2">
      <c r="A936" s="2">
        <v>2</v>
      </c>
      <c r="B936" s="1" t="s">
        <v>92</v>
      </c>
      <c r="C936" s="4">
        <v>99</v>
      </c>
      <c r="D936" s="8">
        <v>10.55</v>
      </c>
      <c r="E936" s="4">
        <v>58</v>
      </c>
      <c r="F936" s="8">
        <v>10.53</v>
      </c>
      <c r="G936" s="4">
        <v>41</v>
      </c>
      <c r="H936" s="8">
        <v>10.79</v>
      </c>
      <c r="I936" s="4">
        <v>0</v>
      </c>
    </row>
    <row r="937" spans="1:9" x14ac:dyDescent="0.2">
      <c r="A937" s="2">
        <v>3</v>
      </c>
      <c r="B937" s="1" t="s">
        <v>97</v>
      </c>
      <c r="C937" s="4">
        <v>85</v>
      </c>
      <c r="D937" s="8">
        <v>9.06</v>
      </c>
      <c r="E937" s="4">
        <v>78</v>
      </c>
      <c r="F937" s="8">
        <v>14.16</v>
      </c>
      <c r="G937" s="4">
        <v>7</v>
      </c>
      <c r="H937" s="8">
        <v>1.84</v>
      </c>
      <c r="I937" s="4">
        <v>0</v>
      </c>
    </row>
    <row r="938" spans="1:9" x14ac:dyDescent="0.2">
      <c r="A938" s="2">
        <v>4</v>
      </c>
      <c r="B938" s="1" t="s">
        <v>84</v>
      </c>
      <c r="C938" s="4">
        <v>78</v>
      </c>
      <c r="D938" s="8">
        <v>8.32</v>
      </c>
      <c r="E938" s="4">
        <v>21</v>
      </c>
      <c r="F938" s="8">
        <v>3.81</v>
      </c>
      <c r="G938" s="4">
        <v>57</v>
      </c>
      <c r="H938" s="8">
        <v>15</v>
      </c>
      <c r="I938" s="4">
        <v>0</v>
      </c>
    </row>
    <row r="939" spans="1:9" x14ac:dyDescent="0.2">
      <c r="A939" s="2">
        <v>5</v>
      </c>
      <c r="B939" s="1" t="s">
        <v>85</v>
      </c>
      <c r="C939" s="4">
        <v>60</v>
      </c>
      <c r="D939" s="8">
        <v>6.4</v>
      </c>
      <c r="E939" s="4">
        <v>39</v>
      </c>
      <c r="F939" s="8">
        <v>7.08</v>
      </c>
      <c r="G939" s="4">
        <v>21</v>
      </c>
      <c r="H939" s="8">
        <v>5.53</v>
      </c>
      <c r="I939" s="4">
        <v>0</v>
      </c>
    </row>
    <row r="940" spans="1:9" x14ac:dyDescent="0.2">
      <c r="A940" s="2">
        <v>5</v>
      </c>
      <c r="B940" s="1" t="s">
        <v>90</v>
      </c>
      <c r="C940" s="4">
        <v>60</v>
      </c>
      <c r="D940" s="8">
        <v>6.4</v>
      </c>
      <c r="E940" s="4">
        <v>43</v>
      </c>
      <c r="F940" s="8">
        <v>7.8</v>
      </c>
      <c r="G940" s="4">
        <v>17</v>
      </c>
      <c r="H940" s="8">
        <v>4.47</v>
      </c>
      <c r="I940" s="4">
        <v>0</v>
      </c>
    </row>
    <row r="941" spans="1:9" x14ac:dyDescent="0.2">
      <c r="A941" s="2">
        <v>7</v>
      </c>
      <c r="B941" s="1" t="s">
        <v>86</v>
      </c>
      <c r="C941" s="4">
        <v>49</v>
      </c>
      <c r="D941" s="8">
        <v>5.22</v>
      </c>
      <c r="E941" s="4">
        <v>22</v>
      </c>
      <c r="F941" s="8">
        <v>3.99</v>
      </c>
      <c r="G941" s="4">
        <v>27</v>
      </c>
      <c r="H941" s="8">
        <v>7.11</v>
      </c>
      <c r="I941" s="4">
        <v>0</v>
      </c>
    </row>
    <row r="942" spans="1:9" x14ac:dyDescent="0.2">
      <c r="A942" s="2">
        <v>8</v>
      </c>
      <c r="B942" s="1" t="s">
        <v>94</v>
      </c>
      <c r="C942" s="4">
        <v>40</v>
      </c>
      <c r="D942" s="8">
        <v>4.26</v>
      </c>
      <c r="E942" s="4">
        <v>26</v>
      </c>
      <c r="F942" s="8">
        <v>4.72</v>
      </c>
      <c r="G942" s="4">
        <v>14</v>
      </c>
      <c r="H942" s="8">
        <v>3.68</v>
      </c>
      <c r="I942" s="4">
        <v>0</v>
      </c>
    </row>
    <row r="943" spans="1:9" x14ac:dyDescent="0.2">
      <c r="A943" s="2">
        <v>9</v>
      </c>
      <c r="B943" s="1" t="s">
        <v>112</v>
      </c>
      <c r="C943" s="4">
        <v>23</v>
      </c>
      <c r="D943" s="8">
        <v>2.4500000000000002</v>
      </c>
      <c r="E943" s="4">
        <v>19</v>
      </c>
      <c r="F943" s="8">
        <v>3.45</v>
      </c>
      <c r="G943" s="4">
        <v>4</v>
      </c>
      <c r="H943" s="8">
        <v>1.05</v>
      </c>
      <c r="I943" s="4">
        <v>0</v>
      </c>
    </row>
    <row r="944" spans="1:9" x14ac:dyDescent="0.2">
      <c r="A944" s="2">
        <v>9</v>
      </c>
      <c r="B944" s="1" t="s">
        <v>101</v>
      </c>
      <c r="C944" s="4">
        <v>23</v>
      </c>
      <c r="D944" s="8">
        <v>2.4500000000000002</v>
      </c>
      <c r="E944" s="4">
        <v>20</v>
      </c>
      <c r="F944" s="8">
        <v>3.63</v>
      </c>
      <c r="G944" s="4">
        <v>3</v>
      </c>
      <c r="H944" s="8">
        <v>0.79</v>
      </c>
      <c r="I944" s="4">
        <v>0</v>
      </c>
    </row>
    <row r="945" spans="1:9" x14ac:dyDescent="0.2">
      <c r="A945" s="2">
        <v>11</v>
      </c>
      <c r="B945" s="1" t="s">
        <v>91</v>
      </c>
      <c r="C945" s="4">
        <v>20</v>
      </c>
      <c r="D945" s="8">
        <v>2.13</v>
      </c>
      <c r="E945" s="4">
        <v>9</v>
      </c>
      <c r="F945" s="8">
        <v>1.63</v>
      </c>
      <c r="G945" s="4">
        <v>11</v>
      </c>
      <c r="H945" s="8">
        <v>2.89</v>
      </c>
      <c r="I945" s="4">
        <v>0</v>
      </c>
    </row>
    <row r="946" spans="1:9" x14ac:dyDescent="0.2">
      <c r="A946" s="2">
        <v>12</v>
      </c>
      <c r="B946" s="1" t="s">
        <v>100</v>
      </c>
      <c r="C946" s="4">
        <v>19</v>
      </c>
      <c r="D946" s="8">
        <v>2.0299999999999998</v>
      </c>
      <c r="E946" s="4">
        <v>13</v>
      </c>
      <c r="F946" s="8">
        <v>2.36</v>
      </c>
      <c r="G946" s="4">
        <v>5</v>
      </c>
      <c r="H946" s="8">
        <v>1.32</v>
      </c>
      <c r="I946" s="4">
        <v>0</v>
      </c>
    </row>
    <row r="947" spans="1:9" x14ac:dyDescent="0.2">
      <c r="A947" s="2">
        <v>13</v>
      </c>
      <c r="B947" s="1" t="s">
        <v>89</v>
      </c>
      <c r="C947" s="4">
        <v>18</v>
      </c>
      <c r="D947" s="8">
        <v>1.92</v>
      </c>
      <c r="E947" s="4">
        <v>10</v>
      </c>
      <c r="F947" s="8">
        <v>1.81</v>
      </c>
      <c r="G947" s="4">
        <v>8</v>
      </c>
      <c r="H947" s="8">
        <v>2.11</v>
      </c>
      <c r="I947" s="4">
        <v>0</v>
      </c>
    </row>
    <row r="948" spans="1:9" x14ac:dyDescent="0.2">
      <c r="A948" s="2">
        <v>14</v>
      </c>
      <c r="B948" s="1" t="s">
        <v>109</v>
      </c>
      <c r="C948" s="4">
        <v>16</v>
      </c>
      <c r="D948" s="8">
        <v>1.71</v>
      </c>
      <c r="E948" s="4">
        <v>2</v>
      </c>
      <c r="F948" s="8">
        <v>0.36</v>
      </c>
      <c r="G948" s="4">
        <v>14</v>
      </c>
      <c r="H948" s="8">
        <v>3.68</v>
      </c>
      <c r="I948" s="4">
        <v>0</v>
      </c>
    </row>
    <row r="949" spans="1:9" x14ac:dyDescent="0.2">
      <c r="A949" s="2">
        <v>15</v>
      </c>
      <c r="B949" s="1" t="s">
        <v>93</v>
      </c>
      <c r="C949" s="4">
        <v>15</v>
      </c>
      <c r="D949" s="8">
        <v>1.6</v>
      </c>
      <c r="E949" s="4">
        <v>0</v>
      </c>
      <c r="F949" s="8">
        <v>0</v>
      </c>
      <c r="G949" s="4">
        <v>15</v>
      </c>
      <c r="H949" s="8">
        <v>3.95</v>
      </c>
      <c r="I949" s="4">
        <v>0</v>
      </c>
    </row>
    <row r="950" spans="1:9" x14ac:dyDescent="0.2">
      <c r="A950" s="2">
        <v>15</v>
      </c>
      <c r="B950" s="1" t="s">
        <v>103</v>
      </c>
      <c r="C950" s="4">
        <v>15</v>
      </c>
      <c r="D950" s="8">
        <v>1.6</v>
      </c>
      <c r="E950" s="4">
        <v>11</v>
      </c>
      <c r="F950" s="8">
        <v>2</v>
      </c>
      <c r="G950" s="4">
        <v>4</v>
      </c>
      <c r="H950" s="8">
        <v>1.05</v>
      </c>
      <c r="I950" s="4">
        <v>0</v>
      </c>
    </row>
    <row r="951" spans="1:9" x14ac:dyDescent="0.2">
      <c r="A951" s="2">
        <v>17</v>
      </c>
      <c r="B951" s="1" t="s">
        <v>95</v>
      </c>
      <c r="C951" s="4">
        <v>13</v>
      </c>
      <c r="D951" s="8">
        <v>1.39</v>
      </c>
      <c r="E951" s="4">
        <v>9</v>
      </c>
      <c r="F951" s="8">
        <v>1.63</v>
      </c>
      <c r="G951" s="4">
        <v>4</v>
      </c>
      <c r="H951" s="8">
        <v>1.05</v>
      </c>
      <c r="I951" s="4">
        <v>0</v>
      </c>
    </row>
    <row r="952" spans="1:9" x14ac:dyDescent="0.2">
      <c r="A952" s="2">
        <v>17</v>
      </c>
      <c r="B952" s="1" t="s">
        <v>111</v>
      </c>
      <c r="C952" s="4">
        <v>13</v>
      </c>
      <c r="D952" s="8">
        <v>1.39</v>
      </c>
      <c r="E952" s="4">
        <v>11</v>
      </c>
      <c r="F952" s="8">
        <v>2</v>
      </c>
      <c r="G952" s="4">
        <v>2</v>
      </c>
      <c r="H952" s="8">
        <v>0.53</v>
      </c>
      <c r="I952" s="4">
        <v>0</v>
      </c>
    </row>
    <row r="953" spans="1:9" x14ac:dyDescent="0.2">
      <c r="A953" s="2">
        <v>19</v>
      </c>
      <c r="B953" s="1" t="s">
        <v>119</v>
      </c>
      <c r="C953" s="4">
        <v>12</v>
      </c>
      <c r="D953" s="8">
        <v>1.28</v>
      </c>
      <c r="E953" s="4">
        <v>5</v>
      </c>
      <c r="F953" s="8">
        <v>0.91</v>
      </c>
      <c r="G953" s="4">
        <v>7</v>
      </c>
      <c r="H953" s="8">
        <v>1.84</v>
      </c>
      <c r="I953" s="4">
        <v>0</v>
      </c>
    </row>
    <row r="954" spans="1:9" x14ac:dyDescent="0.2">
      <c r="A954" s="2">
        <v>19</v>
      </c>
      <c r="B954" s="1" t="s">
        <v>96</v>
      </c>
      <c r="C954" s="4">
        <v>12</v>
      </c>
      <c r="D954" s="8">
        <v>1.28</v>
      </c>
      <c r="E954" s="4">
        <v>4</v>
      </c>
      <c r="F954" s="8">
        <v>0.73</v>
      </c>
      <c r="G954" s="4">
        <v>8</v>
      </c>
      <c r="H954" s="8">
        <v>2.11</v>
      </c>
      <c r="I954" s="4">
        <v>0</v>
      </c>
    </row>
    <row r="955" spans="1:9" x14ac:dyDescent="0.2">
      <c r="A955" s="1"/>
      <c r="C955" s="4"/>
      <c r="D955" s="8"/>
      <c r="E955" s="4"/>
      <c r="F955" s="8"/>
      <c r="G955" s="4"/>
      <c r="H955" s="8"/>
      <c r="I955" s="4"/>
    </row>
    <row r="956" spans="1:9" x14ac:dyDescent="0.2">
      <c r="A956" s="1" t="s">
        <v>43</v>
      </c>
      <c r="C956" s="4"/>
      <c r="D956" s="8"/>
      <c r="E956" s="4"/>
      <c r="F956" s="8"/>
      <c r="G956" s="4"/>
      <c r="H956" s="8"/>
      <c r="I956" s="4"/>
    </row>
    <row r="957" spans="1:9" x14ac:dyDescent="0.2">
      <c r="A957" s="2">
        <v>1</v>
      </c>
      <c r="B957" s="1" t="s">
        <v>98</v>
      </c>
      <c r="C957" s="4">
        <v>96</v>
      </c>
      <c r="D957" s="8">
        <v>11.23</v>
      </c>
      <c r="E957" s="4">
        <v>78</v>
      </c>
      <c r="F957" s="8">
        <v>19.02</v>
      </c>
      <c r="G957" s="4">
        <v>18</v>
      </c>
      <c r="H957" s="8">
        <v>4.13</v>
      </c>
      <c r="I957" s="4">
        <v>0</v>
      </c>
    </row>
    <row r="958" spans="1:9" x14ac:dyDescent="0.2">
      <c r="A958" s="2">
        <v>2</v>
      </c>
      <c r="B958" s="1" t="s">
        <v>97</v>
      </c>
      <c r="C958" s="4">
        <v>79</v>
      </c>
      <c r="D958" s="8">
        <v>9.24</v>
      </c>
      <c r="E958" s="4">
        <v>68</v>
      </c>
      <c r="F958" s="8">
        <v>16.59</v>
      </c>
      <c r="G958" s="4">
        <v>11</v>
      </c>
      <c r="H958" s="8">
        <v>2.52</v>
      </c>
      <c r="I958" s="4">
        <v>0</v>
      </c>
    </row>
    <row r="959" spans="1:9" x14ac:dyDescent="0.2">
      <c r="A959" s="2">
        <v>3</v>
      </c>
      <c r="B959" s="1" t="s">
        <v>94</v>
      </c>
      <c r="C959" s="4">
        <v>77</v>
      </c>
      <c r="D959" s="8">
        <v>9.01</v>
      </c>
      <c r="E959" s="4">
        <v>49</v>
      </c>
      <c r="F959" s="8">
        <v>11.95</v>
      </c>
      <c r="G959" s="4">
        <v>28</v>
      </c>
      <c r="H959" s="8">
        <v>6.42</v>
      </c>
      <c r="I959" s="4">
        <v>0</v>
      </c>
    </row>
    <row r="960" spans="1:9" x14ac:dyDescent="0.2">
      <c r="A960" s="2">
        <v>4</v>
      </c>
      <c r="B960" s="1" t="s">
        <v>84</v>
      </c>
      <c r="C960" s="4">
        <v>65</v>
      </c>
      <c r="D960" s="8">
        <v>7.6</v>
      </c>
      <c r="E960" s="4">
        <v>13</v>
      </c>
      <c r="F960" s="8">
        <v>3.17</v>
      </c>
      <c r="G960" s="4">
        <v>52</v>
      </c>
      <c r="H960" s="8">
        <v>11.93</v>
      </c>
      <c r="I960" s="4">
        <v>0</v>
      </c>
    </row>
    <row r="961" spans="1:9" x14ac:dyDescent="0.2">
      <c r="A961" s="2">
        <v>5</v>
      </c>
      <c r="B961" s="1" t="s">
        <v>85</v>
      </c>
      <c r="C961" s="4">
        <v>46</v>
      </c>
      <c r="D961" s="8">
        <v>5.38</v>
      </c>
      <c r="E961" s="4">
        <v>17</v>
      </c>
      <c r="F961" s="8">
        <v>4.1500000000000004</v>
      </c>
      <c r="G961" s="4">
        <v>29</v>
      </c>
      <c r="H961" s="8">
        <v>6.65</v>
      </c>
      <c r="I961" s="4">
        <v>0</v>
      </c>
    </row>
    <row r="962" spans="1:9" x14ac:dyDescent="0.2">
      <c r="A962" s="2">
        <v>6</v>
      </c>
      <c r="B962" s="1" t="s">
        <v>92</v>
      </c>
      <c r="C962" s="4">
        <v>40</v>
      </c>
      <c r="D962" s="8">
        <v>4.68</v>
      </c>
      <c r="E962" s="4">
        <v>15</v>
      </c>
      <c r="F962" s="8">
        <v>3.66</v>
      </c>
      <c r="G962" s="4">
        <v>25</v>
      </c>
      <c r="H962" s="8">
        <v>5.73</v>
      </c>
      <c r="I962" s="4">
        <v>0</v>
      </c>
    </row>
    <row r="963" spans="1:9" x14ac:dyDescent="0.2">
      <c r="A963" s="2">
        <v>7</v>
      </c>
      <c r="B963" s="1" t="s">
        <v>86</v>
      </c>
      <c r="C963" s="4">
        <v>38</v>
      </c>
      <c r="D963" s="8">
        <v>4.4400000000000004</v>
      </c>
      <c r="E963" s="4">
        <v>7</v>
      </c>
      <c r="F963" s="8">
        <v>1.71</v>
      </c>
      <c r="G963" s="4">
        <v>31</v>
      </c>
      <c r="H963" s="8">
        <v>7.11</v>
      </c>
      <c r="I963" s="4">
        <v>0</v>
      </c>
    </row>
    <row r="964" spans="1:9" x14ac:dyDescent="0.2">
      <c r="A964" s="2">
        <v>8</v>
      </c>
      <c r="B964" s="1" t="s">
        <v>90</v>
      </c>
      <c r="C964" s="4">
        <v>33</v>
      </c>
      <c r="D964" s="8">
        <v>3.86</v>
      </c>
      <c r="E964" s="4">
        <v>28</v>
      </c>
      <c r="F964" s="8">
        <v>6.83</v>
      </c>
      <c r="G964" s="4">
        <v>5</v>
      </c>
      <c r="H964" s="8">
        <v>1.1499999999999999</v>
      </c>
      <c r="I964" s="4">
        <v>0</v>
      </c>
    </row>
    <row r="965" spans="1:9" x14ac:dyDescent="0.2">
      <c r="A965" s="2">
        <v>9</v>
      </c>
      <c r="B965" s="1" t="s">
        <v>100</v>
      </c>
      <c r="C965" s="4">
        <v>31</v>
      </c>
      <c r="D965" s="8">
        <v>3.63</v>
      </c>
      <c r="E965" s="4">
        <v>21</v>
      </c>
      <c r="F965" s="8">
        <v>5.12</v>
      </c>
      <c r="G965" s="4">
        <v>7</v>
      </c>
      <c r="H965" s="8">
        <v>1.61</v>
      </c>
      <c r="I965" s="4">
        <v>0</v>
      </c>
    </row>
    <row r="966" spans="1:9" x14ac:dyDescent="0.2">
      <c r="A966" s="2">
        <v>9</v>
      </c>
      <c r="B966" s="1" t="s">
        <v>101</v>
      </c>
      <c r="C966" s="4">
        <v>31</v>
      </c>
      <c r="D966" s="8">
        <v>3.63</v>
      </c>
      <c r="E966" s="4">
        <v>29</v>
      </c>
      <c r="F966" s="8">
        <v>7.07</v>
      </c>
      <c r="G966" s="4">
        <v>2</v>
      </c>
      <c r="H966" s="8">
        <v>0.46</v>
      </c>
      <c r="I966" s="4">
        <v>0</v>
      </c>
    </row>
    <row r="967" spans="1:9" x14ac:dyDescent="0.2">
      <c r="A967" s="2">
        <v>11</v>
      </c>
      <c r="B967" s="1" t="s">
        <v>91</v>
      </c>
      <c r="C967" s="4">
        <v>30</v>
      </c>
      <c r="D967" s="8">
        <v>3.51</v>
      </c>
      <c r="E967" s="4">
        <v>14</v>
      </c>
      <c r="F967" s="8">
        <v>3.41</v>
      </c>
      <c r="G967" s="4">
        <v>16</v>
      </c>
      <c r="H967" s="8">
        <v>3.67</v>
      </c>
      <c r="I967" s="4">
        <v>0</v>
      </c>
    </row>
    <row r="968" spans="1:9" x14ac:dyDescent="0.2">
      <c r="A968" s="2">
        <v>12</v>
      </c>
      <c r="B968" s="1" t="s">
        <v>93</v>
      </c>
      <c r="C968" s="4">
        <v>24</v>
      </c>
      <c r="D968" s="8">
        <v>2.81</v>
      </c>
      <c r="E968" s="4">
        <v>1</v>
      </c>
      <c r="F968" s="8">
        <v>0.24</v>
      </c>
      <c r="G968" s="4">
        <v>23</v>
      </c>
      <c r="H968" s="8">
        <v>5.28</v>
      </c>
      <c r="I968" s="4">
        <v>0</v>
      </c>
    </row>
    <row r="969" spans="1:9" x14ac:dyDescent="0.2">
      <c r="A969" s="2">
        <v>13</v>
      </c>
      <c r="B969" s="1" t="s">
        <v>95</v>
      </c>
      <c r="C969" s="4">
        <v>22</v>
      </c>
      <c r="D969" s="8">
        <v>2.57</v>
      </c>
      <c r="E969" s="4">
        <v>8</v>
      </c>
      <c r="F969" s="8">
        <v>1.95</v>
      </c>
      <c r="G969" s="4">
        <v>14</v>
      </c>
      <c r="H969" s="8">
        <v>3.21</v>
      </c>
      <c r="I969" s="4">
        <v>0</v>
      </c>
    </row>
    <row r="970" spans="1:9" x14ac:dyDescent="0.2">
      <c r="A970" s="2">
        <v>14</v>
      </c>
      <c r="B970" s="1" t="s">
        <v>99</v>
      </c>
      <c r="C970" s="4">
        <v>21</v>
      </c>
      <c r="D970" s="8">
        <v>2.46</v>
      </c>
      <c r="E970" s="4">
        <v>7</v>
      </c>
      <c r="F970" s="8">
        <v>1.71</v>
      </c>
      <c r="G970" s="4">
        <v>14</v>
      </c>
      <c r="H970" s="8">
        <v>3.21</v>
      </c>
      <c r="I970" s="4">
        <v>0</v>
      </c>
    </row>
    <row r="971" spans="1:9" x14ac:dyDescent="0.2">
      <c r="A971" s="2">
        <v>15</v>
      </c>
      <c r="B971" s="1" t="s">
        <v>89</v>
      </c>
      <c r="C971" s="4">
        <v>20</v>
      </c>
      <c r="D971" s="8">
        <v>2.34</v>
      </c>
      <c r="E971" s="4">
        <v>9</v>
      </c>
      <c r="F971" s="8">
        <v>2.2000000000000002</v>
      </c>
      <c r="G971" s="4">
        <v>11</v>
      </c>
      <c r="H971" s="8">
        <v>2.52</v>
      </c>
      <c r="I971" s="4">
        <v>0</v>
      </c>
    </row>
    <row r="972" spans="1:9" x14ac:dyDescent="0.2">
      <c r="A972" s="2">
        <v>16</v>
      </c>
      <c r="B972" s="1" t="s">
        <v>96</v>
      </c>
      <c r="C972" s="4">
        <v>19</v>
      </c>
      <c r="D972" s="8">
        <v>2.2200000000000002</v>
      </c>
      <c r="E972" s="4">
        <v>4</v>
      </c>
      <c r="F972" s="8">
        <v>0.98</v>
      </c>
      <c r="G972" s="4">
        <v>15</v>
      </c>
      <c r="H972" s="8">
        <v>3.44</v>
      </c>
      <c r="I972" s="4">
        <v>0</v>
      </c>
    </row>
    <row r="973" spans="1:9" x14ac:dyDescent="0.2">
      <c r="A973" s="2">
        <v>17</v>
      </c>
      <c r="B973" s="1" t="s">
        <v>102</v>
      </c>
      <c r="C973" s="4">
        <v>18</v>
      </c>
      <c r="D973" s="8">
        <v>2.11</v>
      </c>
      <c r="E973" s="4">
        <v>0</v>
      </c>
      <c r="F973" s="8">
        <v>0</v>
      </c>
      <c r="G973" s="4">
        <v>15</v>
      </c>
      <c r="H973" s="8">
        <v>3.44</v>
      </c>
      <c r="I973" s="4">
        <v>0</v>
      </c>
    </row>
    <row r="974" spans="1:9" x14ac:dyDescent="0.2">
      <c r="A974" s="2">
        <v>18</v>
      </c>
      <c r="B974" s="1" t="s">
        <v>103</v>
      </c>
      <c r="C974" s="4">
        <v>16</v>
      </c>
      <c r="D974" s="8">
        <v>1.87</v>
      </c>
      <c r="E974" s="4">
        <v>7</v>
      </c>
      <c r="F974" s="8">
        <v>1.71</v>
      </c>
      <c r="G974" s="4">
        <v>9</v>
      </c>
      <c r="H974" s="8">
        <v>2.06</v>
      </c>
      <c r="I974" s="4">
        <v>0</v>
      </c>
    </row>
    <row r="975" spans="1:9" x14ac:dyDescent="0.2">
      <c r="A975" s="2">
        <v>19</v>
      </c>
      <c r="B975" s="1" t="s">
        <v>110</v>
      </c>
      <c r="C975" s="4">
        <v>14</v>
      </c>
      <c r="D975" s="8">
        <v>1.64</v>
      </c>
      <c r="E975" s="4">
        <v>10</v>
      </c>
      <c r="F975" s="8">
        <v>2.44</v>
      </c>
      <c r="G975" s="4">
        <v>4</v>
      </c>
      <c r="H975" s="8">
        <v>0.92</v>
      </c>
      <c r="I975" s="4">
        <v>0</v>
      </c>
    </row>
    <row r="976" spans="1:9" x14ac:dyDescent="0.2">
      <c r="A976" s="2">
        <v>20</v>
      </c>
      <c r="B976" s="1" t="s">
        <v>87</v>
      </c>
      <c r="C976" s="4">
        <v>10</v>
      </c>
      <c r="D976" s="8">
        <v>1.17</v>
      </c>
      <c r="E976" s="4">
        <v>0</v>
      </c>
      <c r="F976" s="8">
        <v>0</v>
      </c>
      <c r="G976" s="4">
        <v>10</v>
      </c>
      <c r="H976" s="8">
        <v>2.29</v>
      </c>
      <c r="I976" s="4">
        <v>0</v>
      </c>
    </row>
    <row r="977" spans="1:9" x14ac:dyDescent="0.2">
      <c r="A977" s="1"/>
      <c r="C977" s="4"/>
      <c r="D977" s="8"/>
      <c r="E977" s="4"/>
      <c r="F977" s="8"/>
      <c r="G977" s="4"/>
      <c r="H977" s="8"/>
      <c r="I977" s="4"/>
    </row>
    <row r="978" spans="1:9" x14ac:dyDescent="0.2">
      <c r="A978" s="1" t="s">
        <v>44</v>
      </c>
      <c r="C978" s="4"/>
      <c r="D978" s="8"/>
      <c r="E978" s="4"/>
      <c r="F978" s="8"/>
      <c r="G978" s="4"/>
      <c r="H978" s="8"/>
      <c r="I978" s="4"/>
    </row>
    <row r="979" spans="1:9" x14ac:dyDescent="0.2">
      <c r="A979" s="2">
        <v>1</v>
      </c>
      <c r="B979" s="1" t="s">
        <v>89</v>
      </c>
      <c r="C979" s="4">
        <v>43</v>
      </c>
      <c r="D979" s="8">
        <v>10.67</v>
      </c>
      <c r="E979" s="4">
        <v>4</v>
      </c>
      <c r="F979" s="8">
        <v>2.33</v>
      </c>
      <c r="G979" s="4">
        <v>39</v>
      </c>
      <c r="H979" s="8">
        <v>17.260000000000002</v>
      </c>
      <c r="I979" s="4">
        <v>0</v>
      </c>
    </row>
    <row r="980" spans="1:9" x14ac:dyDescent="0.2">
      <c r="A980" s="2">
        <v>1</v>
      </c>
      <c r="B980" s="1" t="s">
        <v>98</v>
      </c>
      <c r="C980" s="4">
        <v>43</v>
      </c>
      <c r="D980" s="8">
        <v>10.67</v>
      </c>
      <c r="E980" s="4">
        <v>37</v>
      </c>
      <c r="F980" s="8">
        <v>21.51</v>
      </c>
      <c r="G980" s="4">
        <v>6</v>
      </c>
      <c r="H980" s="8">
        <v>2.65</v>
      </c>
      <c r="I980" s="4">
        <v>0</v>
      </c>
    </row>
    <row r="981" spans="1:9" x14ac:dyDescent="0.2">
      <c r="A981" s="2">
        <v>3</v>
      </c>
      <c r="B981" s="1" t="s">
        <v>92</v>
      </c>
      <c r="C981" s="4">
        <v>40</v>
      </c>
      <c r="D981" s="8">
        <v>9.93</v>
      </c>
      <c r="E981" s="4">
        <v>11</v>
      </c>
      <c r="F981" s="8">
        <v>6.4</v>
      </c>
      <c r="G981" s="4">
        <v>29</v>
      </c>
      <c r="H981" s="8">
        <v>12.83</v>
      </c>
      <c r="I981" s="4">
        <v>0</v>
      </c>
    </row>
    <row r="982" spans="1:9" x14ac:dyDescent="0.2">
      <c r="A982" s="2">
        <v>4</v>
      </c>
      <c r="B982" s="1" t="s">
        <v>94</v>
      </c>
      <c r="C982" s="4">
        <v>36</v>
      </c>
      <c r="D982" s="8">
        <v>8.93</v>
      </c>
      <c r="E982" s="4">
        <v>20</v>
      </c>
      <c r="F982" s="8">
        <v>11.63</v>
      </c>
      <c r="G982" s="4">
        <v>16</v>
      </c>
      <c r="H982" s="8">
        <v>7.08</v>
      </c>
      <c r="I982" s="4">
        <v>0</v>
      </c>
    </row>
    <row r="983" spans="1:9" x14ac:dyDescent="0.2">
      <c r="A983" s="2">
        <v>4</v>
      </c>
      <c r="B983" s="1" t="s">
        <v>97</v>
      </c>
      <c r="C983" s="4">
        <v>36</v>
      </c>
      <c r="D983" s="8">
        <v>8.93</v>
      </c>
      <c r="E983" s="4">
        <v>31</v>
      </c>
      <c r="F983" s="8">
        <v>18.02</v>
      </c>
      <c r="G983" s="4">
        <v>5</v>
      </c>
      <c r="H983" s="8">
        <v>2.21</v>
      </c>
      <c r="I983" s="4">
        <v>0</v>
      </c>
    </row>
    <row r="984" spans="1:9" x14ac:dyDescent="0.2">
      <c r="A984" s="2">
        <v>6</v>
      </c>
      <c r="B984" s="1" t="s">
        <v>91</v>
      </c>
      <c r="C984" s="4">
        <v>21</v>
      </c>
      <c r="D984" s="8">
        <v>5.21</v>
      </c>
      <c r="E984" s="4">
        <v>8</v>
      </c>
      <c r="F984" s="8">
        <v>4.6500000000000004</v>
      </c>
      <c r="G984" s="4">
        <v>13</v>
      </c>
      <c r="H984" s="8">
        <v>5.75</v>
      </c>
      <c r="I984" s="4">
        <v>0</v>
      </c>
    </row>
    <row r="985" spans="1:9" x14ac:dyDescent="0.2">
      <c r="A985" s="2">
        <v>7</v>
      </c>
      <c r="B985" s="1" t="s">
        <v>84</v>
      </c>
      <c r="C985" s="4">
        <v>17</v>
      </c>
      <c r="D985" s="8">
        <v>4.22</v>
      </c>
      <c r="E985" s="4">
        <v>0</v>
      </c>
      <c r="F985" s="8">
        <v>0</v>
      </c>
      <c r="G985" s="4">
        <v>17</v>
      </c>
      <c r="H985" s="8">
        <v>7.52</v>
      </c>
      <c r="I985" s="4">
        <v>0</v>
      </c>
    </row>
    <row r="986" spans="1:9" x14ac:dyDescent="0.2">
      <c r="A986" s="2">
        <v>8</v>
      </c>
      <c r="B986" s="1" t="s">
        <v>85</v>
      </c>
      <c r="C986" s="4">
        <v>15</v>
      </c>
      <c r="D986" s="8">
        <v>3.72</v>
      </c>
      <c r="E986" s="4">
        <v>6</v>
      </c>
      <c r="F986" s="8">
        <v>3.49</v>
      </c>
      <c r="G986" s="4">
        <v>9</v>
      </c>
      <c r="H986" s="8">
        <v>3.98</v>
      </c>
      <c r="I986" s="4">
        <v>0</v>
      </c>
    </row>
    <row r="987" spans="1:9" x14ac:dyDescent="0.2">
      <c r="A987" s="2">
        <v>9</v>
      </c>
      <c r="B987" s="1" t="s">
        <v>101</v>
      </c>
      <c r="C987" s="4">
        <v>14</v>
      </c>
      <c r="D987" s="8">
        <v>3.47</v>
      </c>
      <c r="E987" s="4">
        <v>14</v>
      </c>
      <c r="F987" s="8">
        <v>8.14</v>
      </c>
      <c r="G987" s="4">
        <v>0</v>
      </c>
      <c r="H987" s="8">
        <v>0</v>
      </c>
      <c r="I987" s="4">
        <v>0</v>
      </c>
    </row>
    <row r="988" spans="1:9" x14ac:dyDescent="0.2">
      <c r="A988" s="2">
        <v>10</v>
      </c>
      <c r="B988" s="1" t="s">
        <v>100</v>
      </c>
      <c r="C988" s="4">
        <v>12</v>
      </c>
      <c r="D988" s="8">
        <v>2.98</v>
      </c>
      <c r="E988" s="4">
        <v>12</v>
      </c>
      <c r="F988" s="8">
        <v>6.98</v>
      </c>
      <c r="G988" s="4">
        <v>0</v>
      </c>
      <c r="H988" s="8">
        <v>0</v>
      </c>
      <c r="I988" s="4">
        <v>0</v>
      </c>
    </row>
    <row r="989" spans="1:9" x14ac:dyDescent="0.2">
      <c r="A989" s="2">
        <v>11</v>
      </c>
      <c r="B989" s="1" t="s">
        <v>90</v>
      </c>
      <c r="C989" s="4">
        <v>10</v>
      </c>
      <c r="D989" s="8">
        <v>2.48</v>
      </c>
      <c r="E989" s="4">
        <v>6</v>
      </c>
      <c r="F989" s="8">
        <v>3.49</v>
      </c>
      <c r="G989" s="4">
        <v>4</v>
      </c>
      <c r="H989" s="8">
        <v>1.77</v>
      </c>
      <c r="I989" s="4">
        <v>0</v>
      </c>
    </row>
    <row r="990" spans="1:9" x14ac:dyDescent="0.2">
      <c r="A990" s="2">
        <v>11</v>
      </c>
      <c r="B990" s="1" t="s">
        <v>96</v>
      </c>
      <c r="C990" s="4">
        <v>10</v>
      </c>
      <c r="D990" s="8">
        <v>2.48</v>
      </c>
      <c r="E990" s="4">
        <v>3</v>
      </c>
      <c r="F990" s="8">
        <v>1.74</v>
      </c>
      <c r="G990" s="4">
        <v>6</v>
      </c>
      <c r="H990" s="8">
        <v>2.65</v>
      </c>
      <c r="I990" s="4">
        <v>0</v>
      </c>
    </row>
    <row r="991" spans="1:9" x14ac:dyDescent="0.2">
      <c r="A991" s="2">
        <v>13</v>
      </c>
      <c r="B991" s="1" t="s">
        <v>95</v>
      </c>
      <c r="C991" s="4">
        <v>9</v>
      </c>
      <c r="D991" s="8">
        <v>2.23</v>
      </c>
      <c r="E991" s="4">
        <v>5</v>
      </c>
      <c r="F991" s="8">
        <v>2.91</v>
      </c>
      <c r="G991" s="4">
        <v>4</v>
      </c>
      <c r="H991" s="8">
        <v>1.77</v>
      </c>
      <c r="I991" s="4">
        <v>0</v>
      </c>
    </row>
    <row r="992" spans="1:9" x14ac:dyDescent="0.2">
      <c r="A992" s="2">
        <v>14</v>
      </c>
      <c r="B992" s="1" t="s">
        <v>86</v>
      </c>
      <c r="C992" s="4">
        <v>8</v>
      </c>
      <c r="D992" s="8">
        <v>1.99</v>
      </c>
      <c r="E992" s="4">
        <v>0</v>
      </c>
      <c r="F992" s="8">
        <v>0</v>
      </c>
      <c r="G992" s="4">
        <v>8</v>
      </c>
      <c r="H992" s="8">
        <v>3.54</v>
      </c>
      <c r="I992" s="4">
        <v>0</v>
      </c>
    </row>
    <row r="993" spans="1:9" x14ac:dyDescent="0.2">
      <c r="A993" s="2">
        <v>14</v>
      </c>
      <c r="B993" s="1" t="s">
        <v>88</v>
      </c>
      <c r="C993" s="4">
        <v>8</v>
      </c>
      <c r="D993" s="8">
        <v>1.99</v>
      </c>
      <c r="E993" s="4">
        <v>1</v>
      </c>
      <c r="F993" s="8">
        <v>0.57999999999999996</v>
      </c>
      <c r="G993" s="4">
        <v>7</v>
      </c>
      <c r="H993" s="8">
        <v>3.1</v>
      </c>
      <c r="I993" s="4">
        <v>0</v>
      </c>
    </row>
    <row r="994" spans="1:9" x14ac:dyDescent="0.2">
      <c r="A994" s="2">
        <v>14</v>
      </c>
      <c r="B994" s="1" t="s">
        <v>99</v>
      </c>
      <c r="C994" s="4">
        <v>8</v>
      </c>
      <c r="D994" s="8">
        <v>1.99</v>
      </c>
      <c r="E994" s="4">
        <v>3</v>
      </c>
      <c r="F994" s="8">
        <v>1.74</v>
      </c>
      <c r="G994" s="4">
        <v>5</v>
      </c>
      <c r="H994" s="8">
        <v>2.21</v>
      </c>
      <c r="I994" s="4">
        <v>0</v>
      </c>
    </row>
    <row r="995" spans="1:9" x14ac:dyDescent="0.2">
      <c r="A995" s="2">
        <v>14</v>
      </c>
      <c r="B995" s="1" t="s">
        <v>102</v>
      </c>
      <c r="C995" s="4">
        <v>8</v>
      </c>
      <c r="D995" s="8">
        <v>1.99</v>
      </c>
      <c r="E995" s="4">
        <v>0</v>
      </c>
      <c r="F995" s="8">
        <v>0</v>
      </c>
      <c r="G995" s="4">
        <v>7</v>
      </c>
      <c r="H995" s="8">
        <v>3.1</v>
      </c>
      <c r="I995" s="4">
        <v>0</v>
      </c>
    </row>
    <row r="996" spans="1:9" x14ac:dyDescent="0.2">
      <c r="A996" s="2">
        <v>18</v>
      </c>
      <c r="B996" s="1" t="s">
        <v>93</v>
      </c>
      <c r="C996" s="4">
        <v>7</v>
      </c>
      <c r="D996" s="8">
        <v>1.74</v>
      </c>
      <c r="E996" s="4">
        <v>1</v>
      </c>
      <c r="F996" s="8">
        <v>0.57999999999999996</v>
      </c>
      <c r="G996" s="4">
        <v>6</v>
      </c>
      <c r="H996" s="8">
        <v>2.65</v>
      </c>
      <c r="I996" s="4">
        <v>0</v>
      </c>
    </row>
    <row r="997" spans="1:9" x14ac:dyDescent="0.2">
      <c r="A997" s="2">
        <v>19</v>
      </c>
      <c r="B997" s="1" t="s">
        <v>107</v>
      </c>
      <c r="C997" s="4">
        <v>5</v>
      </c>
      <c r="D997" s="8">
        <v>1.24</v>
      </c>
      <c r="E997" s="4">
        <v>3</v>
      </c>
      <c r="F997" s="8">
        <v>1.74</v>
      </c>
      <c r="G997" s="4">
        <v>1</v>
      </c>
      <c r="H997" s="8">
        <v>0.44</v>
      </c>
      <c r="I997" s="4">
        <v>0</v>
      </c>
    </row>
    <row r="998" spans="1:9" x14ac:dyDescent="0.2">
      <c r="A998" s="2">
        <v>19</v>
      </c>
      <c r="B998" s="1" t="s">
        <v>103</v>
      </c>
      <c r="C998" s="4">
        <v>5</v>
      </c>
      <c r="D998" s="8">
        <v>1.24</v>
      </c>
      <c r="E998" s="4">
        <v>3</v>
      </c>
      <c r="F998" s="8">
        <v>1.74</v>
      </c>
      <c r="G998" s="4">
        <v>2</v>
      </c>
      <c r="H998" s="8">
        <v>0.88</v>
      </c>
      <c r="I998" s="4">
        <v>0</v>
      </c>
    </row>
    <row r="999" spans="1:9" x14ac:dyDescent="0.2">
      <c r="A999" s="2">
        <v>19</v>
      </c>
      <c r="B999" s="1" t="s">
        <v>105</v>
      </c>
      <c r="C999" s="4">
        <v>5</v>
      </c>
      <c r="D999" s="8">
        <v>1.24</v>
      </c>
      <c r="E999" s="4">
        <v>0</v>
      </c>
      <c r="F999" s="8">
        <v>0</v>
      </c>
      <c r="G999" s="4">
        <v>5</v>
      </c>
      <c r="H999" s="8">
        <v>2.21</v>
      </c>
      <c r="I999" s="4">
        <v>0</v>
      </c>
    </row>
    <row r="1000" spans="1:9" x14ac:dyDescent="0.2">
      <c r="A1000" s="1"/>
      <c r="C1000" s="4"/>
      <c r="D1000" s="8"/>
      <c r="E1000" s="4"/>
      <c r="F1000" s="8"/>
      <c r="G1000" s="4"/>
      <c r="H1000" s="8"/>
      <c r="I1000" s="4"/>
    </row>
    <row r="1001" spans="1:9" x14ac:dyDescent="0.2">
      <c r="A1001" s="1" t="s">
        <v>45</v>
      </c>
      <c r="C1001" s="4"/>
      <c r="D1001" s="8"/>
      <c r="E1001" s="4"/>
      <c r="F1001" s="8"/>
      <c r="G1001" s="4"/>
      <c r="H1001" s="8"/>
      <c r="I1001" s="4"/>
    </row>
    <row r="1002" spans="1:9" x14ac:dyDescent="0.2">
      <c r="A1002" s="2">
        <v>1</v>
      </c>
      <c r="B1002" s="1" t="s">
        <v>98</v>
      </c>
      <c r="C1002" s="4">
        <v>33</v>
      </c>
      <c r="D1002" s="8">
        <v>11.83</v>
      </c>
      <c r="E1002" s="4">
        <v>27</v>
      </c>
      <c r="F1002" s="8">
        <v>20.45</v>
      </c>
      <c r="G1002" s="4">
        <v>6</v>
      </c>
      <c r="H1002" s="8">
        <v>4.1399999999999997</v>
      </c>
      <c r="I1002" s="4">
        <v>0</v>
      </c>
    </row>
    <row r="1003" spans="1:9" x14ac:dyDescent="0.2">
      <c r="A1003" s="2">
        <v>2</v>
      </c>
      <c r="B1003" s="1" t="s">
        <v>84</v>
      </c>
      <c r="C1003" s="4">
        <v>24</v>
      </c>
      <c r="D1003" s="8">
        <v>8.6</v>
      </c>
      <c r="E1003" s="4">
        <v>5</v>
      </c>
      <c r="F1003" s="8">
        <v>3.79</v>
      </c>
      <c r="G1003" s="4">
        <v>19</v>
      </c>
      <c r="H1003" s="8">
        <v>13.1</v>
      </c>
      <c r="I1003" s="4">
        <v>0</v>
      </c>
    </row>
    <row r="1004" spans="1:9" x14ac:dyDescent="0.2">
      <c r="A1004" s="2">
        <v>3</v>
      </c>
      <c r="B1004" s="1" t="s">
        <v>92</v>
      </c>
      <c r="C1004" s="4">
        <v>20</v>
      </c>
      <c r="D1004" s="8">
        <v>7.17</v>
      </c>
      <c r="E1004" s="4">
        <v>9</v>
      </c>
      <c r="F1004" s="8">
        <v>6.82</v>
      </c>
      <c r="G1004" s="4">
        <v>11</v>
      </c>
      <c r="H1004" s="8">
        <v>7.59</v>
      </c>
      <c r="I1004" s="4">
        <v>0</v>
      </c>
    </row>
    <row r="1005" spans="1:9" x14ac:dyDescent="0.2">
      <c r="A1005" s="2">
        <v>4</v>
      </c>
      <c r="B1005" s="1" t="s">
        <v>97</v>
      </c>
      <c r="C1005" s="4">
        <v>19</v>
      </c>
      <c r="D1005" s="8">
        <v>6.81</v>
      </c>
      <c r="E1005" s="4">
        <v>19</v>
      </c>
      <c r="F1005" s="8">
        <v>14.39</v>
      </c>
      <c r="G1005" s="4">
        <v>0</v>
      </c>
      <c r="H1005" s="8">
        <v>0</v>
      </c>
      <c r="I1005" s="4">
        <v>0</v>
      </c>
    </row>
    <row r="1006" spans="1:9" x14ac:dyDescent="0.2">
      <c r="A1006" s="2">
        <v>5</v>
      </c>
      <c r="B1006" s="1" t="s">
        <v>85</v>
      </c>
      <c r="C1006" s="4">
        <v>18</v>
      </c>
      <c r="D1006" s="8">
        <v>6.45</v>
      </c>
      <c r="E1006" s="4">
        <v>10</v>
      </c>
      <c r="F1006" s="8">
        <v>7.58</v>
      </c>
      <c r="G1006" s="4">
        <v>8</v>
      </c>
      <c r="H1006" s="8">
        <v>5.52</v>
      </c>
      <c r="I1006" s="4">
        <v>0</v>
      </c>
    </row>
    <row r="1007" spans="1:9" x14ac:dyDescent="0.2">
      <c r="A1007" s="2">
        <v>6</v>
      </c>
      <c r="B1007" s="1" t="s">
        <v>101</v>
      </c>
      <c r="C1007" s="4">
        <v>17</v>
      </c>
      <c r="D1007" s="8">
        <v>6.09</v>
      </c>
      <c r="E1007" s="4">
        <v>14</v>
      </c>
      <c r="F1007" s="8">
        <v>10.61</v>
      </c>
      <c r="G1007" s="4">
        <v>3</v>
      </c>
      <c r="H1007" s="8">
        <v>2.0699999999999998</v>
      </c>
      <c r="I1007" s="4">
        <v>0</v>
      </c>
    </row>
    <row r="1008" spans="1:9" x14ac:dyDescent="0.2">
      <c r="A1008" s="2">
        <v>7</v>
      </c>
      <c r="B1008" s="1" t="s">
        <v>90</v>
      </c>
      <c r="C1008" s="4">
        <v>16</v>
      </c>
      <c r="D1008" s="8">
        <v>5.73</v>
      </c>
      <c r="E1008" s="4">
        <v>11</v>
      </c>
      <c r="F1008" s="8">
        <v>8.33</v>
      </c>
      <c r="G1008" s="4">
        <v>5</v>
      </c>
      <c r="H1008" s="8">
        <v>3.45</v>
      </c>
      <c r="I1008" s="4">
        <v>0</v>
      </c>
    </row>
    <row r="1009" spans="1:9" x14ac:dyDescent="0.2">
      <c r="A1009" s="2">
        <v>8</v>
      </c>
      <c r="B1009" s="1" t="s">
        <v>86</v>
      </c>
      <c r="C1009" s="4">
        <v>13</v>
      </c>
      <c r="D1009" s="8">
        <v>4.66</v>
      </c>
      <c r="E1009" s="4">
        <v>4</v>
      </c>
      <c r="F1009" s="8">
        <v>3.03</v>
      </c>
      <c r="G1009" s="4">
        <v>9</v>
      </c>
      <c r="H1009" s="8">
        <v>6.21</v>
      </c>
      <c r="I1009" s="4">
        <v>0</v>
      </c>
    </row>
    <row r="1010" spans="1:9" x14ac:dyDescent="0.2">
      <c r="A1010" s="2">
        <v>9</v>
      </c>
      <c r="B1010" s="1" t="s">
        <v>103</v>
      </c>
      <c r="C1010" s="4">
        <v>11</v>
      </c>
      <c r="D1010" s="8">
        <v>3.94</v>
      </c>
      <c r="E1010" s="4">
        <v>6</v>
      </c>
      <c r="F1010" s="8">
        <v>4.55</v>
      </c>
      <c r="G1010" s="4">
        <v>5</v>
      </c>
      <c r="H1010" s="8">
        <v>3.45</v>
      </c>
      <c r="I1010" s="4">
        <v>0</v>
      </c>
    </row>
    <row r="1011" spans="1:9" x14ac:dyDescent="0.2">
      <c r="A1011" s="2">
        <v>10</v>
      </c>
      <c r="B1011" s="1" t="s">
        <v>96</v>
      </c>
      <c r="C1011" s="4">
        <v>9</v>
      </c>
      <c r="D1011" s="8">
        <v>3.23</v>
      </c>
      <c r="E1011" s="4">
        <v>4</v>
      </c>
      <c r="F1011" s="8">
        <v>3.03</v>
      </c>
      <c r="G1011" s="4">
        <v>4</v>
      </c>
      <c r="H1011" s="8">
        <v>2.76</v>
      </c>
      <c r="I1011" s="4">
        <v>0</v>
      </c>
    </row>
    <row r="1012" spans="1:9" x14ac:dyDescent="0.2">
      <c r="A1012" s="2">
        <v>11</v>
      </c>
      <c r="B1012" s="1" t="s">
        <v>94</v>
      </c>
      <c r="C1012" s="4">
        <v>8</v>
      </c>
      <c r="D1012" s="8">
        <v>2.87</v>
      </c>
      <c r="E1012" s="4">
        <v>3</v>
      </c>
      <c r="F1012" s="8">
        <v>2.27</v>
      </c>
      <c r="G1012" s="4">
        <v>5</v>
      </c>
      <c r="H1012" s="8">
        <v>3.45</v>
      </c>
      <c r="I1012" s="4">
        <v>0</v>
      </c>
    </row>
    <row r="1013" spans="1:9" x14ac:dyDescent="0.2">
      <c r="A1013" s="2">
        <v>12</v>
      </c>
      <c r="B1013" s="1" t="s">
        <v>120</v>
      </c>
      <c r="C1013" s="4">
        <v>7</v>
      </c>
      <c r="D1013" s="8">
        <v>2.5099999999999998</v>
      </c>
      <c r="E1013" s="4">
        <v>1</v>
      </c>
      <c r="F1013" s="8">
        <v>0.76</v>
      </c>
      <c r="G1013" s="4">
        <v>6</v>
      </c>
      <c r="H1013" s="8">
        <v>4.1399999999999997</v>
      </c>
      <c r="I1013" s="4">
        <v>0</v>
      </c>
    </row>
    <row r="1014" spans="1:9" x14ac:dyDescent="0.2">
      <c r="A1014" s="2">
        <v>12</v>
      </c>
      <c r="B1014" s="1" t="s">
        <v>100</v>
      </c>
      <c r="C1014" s="4">
        <v>7</v>
      </c>
      <c r="D1014" s="8">
        <v>2.5099999999999998</v>
      </c>
      <c r="E1014" s="4">
        <v>5</v>
      </c>
      <c r="F1014" s="8">
        <v>3.79</v>
      </c>
      <c r="G1014" s="4">
        <v>2</v>
      </c>
      <c r="H1014" s="8">
        <v>1.38</v>
      </c>
      <c r="I1014" s="4">
        <v>0</v>
      </c>
    </row>
    <row r="1015" spans="1:9" x14ac:dyDescent="0.2">
      <c r="A1015" s="2">
        <v>14</v>
      </c>
      <c r="B1015" s="1" t="s">
        <v>109</v>
      </c>
      <c r="C1015" s="4">
        <v>6</v>
      </c>
      <c r="D1015" s="8">
        <v>2.15</v>
      </c>
      <c r="E1015" s="4">
        <v>1</v>
      </c>
      <c r="F1015" s="8">
        <v>0.76</v>
      </c>
      <c r="G1015" s="4">
        <v>5</v>
      </c>
      <c r="H1015" s="8">
        <v>3.45</v>
      </c>
      <c r="I1015" s="4">
        <v>0</v>
      </c>
    </row>
    <row r="1016" spans="1:9" x14ac:dyDescent="0.2">
      <c r="A1016" s="2">
        <v>14</v>
      </c>
      <c r="B1016" s="1" t="s">
        <v>95</v>
      </c>
      <c r="C1016" s="4">
        <v>6</v>
      </c>
      <c r="D1016" s="8">
        <v>2.15</v>
      </c>
      <c r="E1016" s="4">
        <v>0</v>
      </c>
      <c r="F1016" s="8">
        <v>0</v>
      </c>
      <c r="G1016" s="4">
        <v>6</v>
      </c>
      <c r="H1016" s="8">
        <v>4.1399999999999997</v>
      </c>
      <c r="I1016" s="4">
        <v>0</v>
      </c>
    </row>
    <row r="1017" spans="1:9" x14ac:dyDescent="0.2">
      <c r="A1017" s="2">
        <v>16</v>
      </c>
      <c r="B1017" s="1" t="s">
        <v>89</v>
      </c>
      <c r="C1017" s="4">
        <v>5</v>
      </c>
      <c r="D1017" s="8">
        <v>1.79</v>
      </c>
      <c r="E1017" s="4">
        <v>4</v>
      </c>
      <c r="F1017" s="8">
        <v>3.03</v>
      </c>
      <c r="G1017" s="4">
        <v>1</v>
      </c>
      <c r="H1017" s="8">
        <v>0.69</v>
      </c>
      <c r="I1017" s="4">
        <v>0</v>
      </c>
    </row>
    <row r="1018" spans="1:9" x14ac:dyDescent="0.2">
      <c r="A1018" s="2">
        <v>16</v>
      </c>
      <c r="B1018" s="1" t="s">
        <v>91</v>
      </c>
      <c r="C1018" s="4">
        <v>5</v>
      </c>
      <c r="D1018" s="8">
        <v>1.79</v>
      </c>
      <c r="E1018" s="4">
        <v>2</v>
      </c>
      <c r="F1018" s="8">
        <v>1.52</v>
      </c>
      <c r="G1018" s="4">
        <v>3</v>
      </c>
      <c r="H1018" s="8">
        <v>2.0699999999999998</v>
      </c>
      <c r="I1018" s="4">
        <v>0</v>
      </c>
    </row>
    <row r="1019" spans="1:9" x14ac:dyDescent="0.2">
      <c r="A1019" s="2">
        <v>18</v>
      </c>
      <c r="B1019" s="1" t="s">
        <v>87</v>
      </c>
      <c r="C1019" s="4">
        <v>4</v>
      </c>
      <c r="D1019" s="8">
        <v>1.43</v>
      </c>
      <c r="E1019" s="4">
        <v>0</v>
      </c>
      <c r="F1019" s="8">
        <v>0</v>
      </c>
      <c r="G1019" s="4">
        <v>4</v>
      </c>
      <c r="H1019" s="8">
        <v>2.76</v>
      </c>
      <c r="I1019" s="4">
        <v>0</v>
      </c>
    </row>
    <row r="1020" spans="1:9" x14ac:dyDescent="0.2">
      <c r="A1020" s="2">
        <v>18</v>
      </c>
      <c r="B1020" s="1" t="s">
        <v>113</v>
      </c>
      <c r="C1020" s="4">
        <v>4</v>
      </c>
      <c r="D1020" s="8">
        <v>1.43</v>
      </c>
      <c r="E1020" s="4">
        <v>0</v>
      </c>
      <c r="F1020" s="8">
        <v>0</v>
      </c>
      <c r="G1020" s="4">
        <v>4</v>
      </c>
      <c r="H1020" s="8">
        <v>2.76</v>
      </c>
      <c r="I1020" s="4">
        <v>0</v>
      </c>
    </row>
    <row r="1021" spans="1:9" x14ac:dyDescent="0.2">
      <c r="A1021" s="2">
        <v>18</v>
      </c>
      <c r="B1021" s="1" t="s">
        <v>93</v>
      </c>
      <c r="C1021" s="4">
        <v>4</v>
      </c>
      <c r="D1021" s="8">
        <v>1.43</v>
      </c>
      <c r="E1021" s="4">
        <v>1</v>
      </c>
      <c r="F1021" s="8">
        <v>0.76</v>
      </c>
      <c r="G1021" s="4">
        <v>3</v>
      </c>
      <c r="H1021" s="8">
        <v>2.0699999999999998</v>
      </c>
      <c r="I1021" s="4">
        <v>0</v>
      </c>
    </row>
    <row r="1022" spans="1:9" x14ac:dyDescent="0.2">
      <c r="A1022" s="2">
        <v>18</v>
      </c>
      <c r="B1022" s="1" t="s">
        <v>99</v>
      </c>
      <c r="C1022" s="4">
        <v>4</v>
      </c>
      <c r="D1022" s="8">
        <v>1.43</v>
      </c>
      <c r="E1022" s="4">
        <v>3</v>
      </c>
      <c r="F1022" s="8">
        <v>2.27</v>
      </c>
      <c r="G1022" s="4">
        <v>1</v>
      </c>
      <c r="H1022" s="8">
        <v>0.69</v>
      </c>
      <c r="I1022" s="4">
        <v>0</v>
      </c>
    </row>
    <row r="1023" spans="1:9" x14ac:dyDescent="0.2">
      <c r="A1023" s="2">
        <v>18</v>
      </c>
      <c r="B1023" s="1" t="s">
        <v>112</v>
      </c>
      <c r="C1023" s="4">
        <v>4</v>
      </c>
      <c r="D1023" s="8">
        <v>1.43</v>
      </c>
      <c r="E1023" s="4">
        <v>2</v>
      </c>
      <c r="F1023" s="8">
        <v>1.52</v>
      </c>
      <c r="G1023" s="4">
        <v>2</v>
      </c>
      <c r="H1023" s="8">
        <v>1.38</v>
      </c>
      <c r="I1023" s="4">
        <v>0</v>
      </c>
    </row>
    <row r="1024" spans="1:9" x14ac:dyDescent="0.2">
      <c r="A1024" s="1"/>
      <c r="C1024" s="4"/>
      <c r="D1024" s="8"/>
      <c r="E1024" s="4"/>
      <c r="F1024" s="8"/>
      <c r="G1024" s="4"/>
      <c r="H1024" s="8"/>
      <c r="I1024" s="4"/>
    </row>
    <row r="1025" spans="1:9" x14ac:dyDescent="0.2">
      <c r="A1025" s="1" t="s">
        <v>46</v>
      </c>
      <c r="C1025" s="4"/>
      <c r="D1025" s="8"/>
      <c r="E1025" s="4"/>
      <c r="F1025" s="8"/>
      <c r="G1025" s="4"/>
      <c r="H1025" s="8"/>
      <c r="I1025" s="4"/>
    </row>
    <row r="1026" spans="1:9" x14ac:dyDescent="0.2">
      <c r="A1026" s="2">
        <v>1</v>
      </c>
      <c r="B1026" s="1" t="s">
        <v>98</v>
      </c>
      <c r="C1026" s="4">
        <v>15</v>
      </c>
      <c r="D1026" s="8">
        <v>12</v>
      </c>
      <c r="E1026" s="4">
        <v>15</v>
      </c>
      <c r="F1026" s="8">
        <v>17.86</v>
      </c>
      <c r="G1026" s="4">
        <v>0</v>
      </c>
      <c r="H1026" s="8">
        <v>0</v>
      </c>
      <c r="I1026" s="4">
        <v>0</v>
      </c>
    </row>
    <row r="1027" spans="1:9" x14ac:dyDescent="0.2">
      <c r="A1027" s="2">
        <v>2</v>
      </c>
      <c r="B1027" s="1" t="s">
        <v>84</v>
      </c>
      <c r="C1027" s="4">
        <v>13</v>
      </c>
      <c r="D1027" s="8">
        <v>10.4</v>
      </c>
      <c r="E1027" s="4">
        <v>7</v>
      </c>
      <c r="F1027" s="8">
        <v>8.33</v>
      </c>
      <c r="G1027" s="4">
        <v>6</v>
      </c>
      <c r="H1027" s="8">
        <v>14.63</v>
      </c>
      <c r="I1027" s="4">
        <v>0</v>
      </c>
    </row>
    <row r="1028" spans="1:9" x14ac:dyDescent="0.2">
      <c r="A1028" s="2">
        <v>3</v>
      </c>
      <c r="B1028" s="1" t="s">
        <v>90</v>
      </c>
      <c r="C1028" s="4">
        <v>10</v>
      </c>
      <c r="D1028" s="8">
        <v>8</v>
      </c>
      <c r="E1028" s="4">
        <v>9</v>
      </c>
      <c r="F1028" s="8">
        <v>10.71</v>
      </c>
      <c r="G1028" s="4">
        <v>1</v>
      </c>
      <c r="H1028" s="8">
        <v>2.44</v>
      </c>
      <c r="I1028" s="4">
        <v>0</v>
      </c>
    </row>
    <row r="1029" spans="1:9" x14ac:dyDescent="0.2">
      <c r="A1029" s="2">
        <v>3</v>
      </c>
      <c r="B1029" s="1" t="s">
        <v>97</v>
      </c>
      <c r="C1029" s="4">
        <v>10</v>
      </c>
      <c r="D1029" s="8">
        <v>8</v>
      </c>
      <c r="E1029" s="4">
        <v>10</v>
      </c>
      <c r="F1029" s="8">
        <v>11.9</v>
      </c>
      <c r="G1029" s="4">
        <v>0</v>
      </c>
      <c r="H1029" s="8">
        <v>0</v>
      </c>
      <c r="I1029" s="4">
        <v>0</v>
      </c>
    </row>
    <row r="1030" spans="1:9" x14ac:dyDescent="0.2">
      <c r="A1030" s="2">
        <v>5</v>
      </c>
      <c r="B1030" s="1" t="s">
        <v>92</v>
      </c>
      <c r="C1030" s="4">
        <v>9</v>
      </c>
      <c r="D1030" s="8">
        <v>7.2</v>
      </c>
      <c r="E1030" s="4">
        <v>7</v>
      </c>
      <c r="F1030" s="8">
        <v>8.33</v>
      </c>
      <c r="G1030" s="4">
        <v>2</v>
      </c>
      <c r="H1030" s="8">
        <v>4.88</v>
      </c>
      <c r="I1030" s="4">
        <v>0</v>
      </c>
    </row>
    <row r="1031" spans="1:9" x14ac:dyDescent="0.2">
      <c r="A1031" s="2">
        <v>6</v>
      </c>
      <c r="B1031" s="1" t="s">
        <v>100</v>
      </c>
      <c r="C1031" s="4">
        <v>8</v>
      </c>
      <c r="D1031" s="8">
        <v>6.4</v>
      </c>
      <c r="E1031" s="4">
        <v>6</v>
      </c>
      <c r="F1031" s="8">
        <v>7.14</v>
      </c>
      <c r="G1031" s="4">
        <v>2</v>
      </c>
      <c r="H1031" s="8">
        <v>4.88</v>
      </c>
      <c r="I1031" s="4">
        <v>0</v>
      </c>
    </row>
    <row r="1032" spans="1:9" x14ac:dyDescent="0.2">
      <c r="A1032" s="2">
        <v>7</v>
      </c>
      <c r="B1032" s="1" t="s">
        <v>101</v>
      </c>
      <c r="C1032" s="4">
        <v>6</v>
      </c>
      <c r="D1032" s="8">
        <v>4.8</v>
      </c>
      <c r="E1032" s="4">
        <v>5</v>
      </c>
      <c r="F1032" s="8">
        <v>5.95</v>
      </c>
      <c r="G1032" s="4">
        <v>1</v>
      </c>
      <c r="H1032" s="8">
        <v>2.44</v>
      </c>
      <c r="I1032" s="4">
        <v>0</v>
      </c>
    </row>
    <row r="1033" spans="1:9" x14ac:dyDescent="0.2">
      <c r="A1033" s="2">
        <v>8</v>
      </c>
      <c r="B1033" s="1" t="s">
        <v>85</v>
      </c>
      <c r="C1033" s="4">
        <v>5</v>
      </c>
      <c r="D1033" s="8">
        <v>4</v>
      </c>
      <c r="E1033" s="4">
        <v>4</v>
      </c>
      <c r="F1033" s="8">
        <v>4.76</v>
      </c>
      <c r="G1033" s="4">
        <v>1</v>
      </c>
      <c r="H1033" s="8">
        <v>2.44</v>
      </c>
      <c r="I1033" s="4">
        <v>0</v>
      </c>
    </row>
    <row r="1034" spans="1:9" x14ac:dyDescent="0.2">
      <c r="A1034" s="2">
        <v>8</v>
      </c>
      <c r="B1034" s="1" t="s">
        <v>106</v>
      </c>
      <c r="C1034" s="4">
        <v>5</v>
      </c>
      <c r="D1034" s="8">
        <v>4</v>
      </c>
      <c r="E1034" s="4">
        <v>3</v>
      </c>
      <c r="F1034" s="8">
        <v>3.57</v>
      </c>
      <c r="G1034" s="4">
        <v>2</v>
      </c>
      <c r="H1034" s="8">
        <v>4.88</v>
      </c>
      <c r="I1034" s="4">
        <v>0</v>
      </c>
    </row>
    <row r="1035" spans="1:9" x14ac:dyDescent="0.2">
      <c r="A1035" s="2">
        <v>8</v>
      </c>
      <c r="B1035" s="1" t="s">
        <v>103</v>
      </c>
      <c r="C1035" s="4">
        <v>5</v>
      </c>
      <c r="D1035" s="8">
        <v>4</v>
      </c>
      <c r="E1035" s="4">
        <v>5</v>
      </c>
      <c r="F1035" s="8">
        <v>5.95</v>
      </c>
      <c r="G1035" s="4">
        <v>0</v>
      </c>
      <c r="H1035" s="8">
        <v>0</v>
      </c>
      <c r="I1035" s="4">
        <v>0</v>
      </c>
    </row>
    <row r="1036" spans="1:9" x14ac:dyDescent="0.2">
      <c r="A1036" s="2">
        <v>11</v>
      </c>
      <c r="B1036" s="1" t="s">
        <v>86</v>
      </c>
      <c r="C1036" s="4">
        <v>3</v>
      </c>
      <c r="D1036" s="8">
        <v>2.4</v>
      </c>
      <c r="E1036" s="4">
        <v>1</v>
      </c>
      <c r="F1036" s="8">
        <v>1.19</v>
      </c>
      <c r="G1036" s="4">
        <v>2</v>
      </c>
      <c r="H1036" s="8">
        <v>4.88</v>
      </c>
      <c r="I1036" s="4">
        <v>0</v>
      </c>
    </row>
    <row r="1037" spans="1:9" x14ac:dyDescent="0.2">
      <c r="A1037" s="2">
        <v>11</v>
      </c>
      <c r="B1037" s="1" t="s">
        <v>109</v>
      </c>
      <c r="C1037" s="4">
        <v>3</v>
      </c>
      <c r="D1037" s="8">
        <v>2.4</v>
      </c>
      <c r="E1037" s="4">
        <v>1</v>
      </c>
      <c r="F1037" s="8">
        <v>1.19</v>
      </c>
      <c r="G1037" s="4">
        <v>2</v>
      </c>
      <c r="H1037" s="8">
        <v>4.88</v>
      </c>
      <c r="I1037" s="4">
        <v>0</v>
      </c>
    </row>
    <row r="1038" spans="1:9" x14ac:dyDescent="0.2">
      <c r="A1038" s="2">
        <v>11</v>
      </c>
      <c r="B1038" s="1" t="s">
        <v>91</v>
      </c>
      <c r="C1038" s="4">
        <v>3</v>
      </c>
      <c r="D1038" s="8">
        <v>2.4</v>
      </c>
      <c r="E1038" s="4">
        <v>2</v>
      </c>
      <c r="F1038" s="8">
        <v>2.38</v>
      </c>
      <c r="G1038" s="4">
        <v>1</v>
      </c>
      <c r="H1038" s="8">
        <v>2.44</v>
      </c>
      <c r="I1038" s="4">
        <v>0</v>
      </c>
    </row>
    <row r="1039" spans="1:9" x14ac:dyDescent="0.2">
      <c r="A1039" s="2">
        <v>11</v>
      </c>
      <c r="B1039" s="1" t="s">
        <v>94</v>
      </c>
      <c r="C1039" s="4">
        <v>3</v>
      </c>
      <c r="D1039" s="8">
        <v>2.4</v>
      </c>
      <c r="E1039" s="4">
        <v>0</v>
      </c>
      <c r="F1039" s="8">
        <v>0</v>
      </c>
      <c r="G1039" s="4">
        <v>3</v>
      </c>
      <c r="H1039" s="8">
        <v>7.32</v>
      </c>
      <c r="I1039" s="4">
        <v>0</v>
      </c>
    </row>
    <row r="1040" spans="1:9" x14ac:dyDescent="0.2">
      <c r="A1040" s="2">
        <v>11</v>
      </c>
      <c r="B1040" s="1" t="s">
        <v>102</v>
      </c>
      <c r="C1040" s="4">
        <v>3</v>
      </c>
      <c r="D1040" s="8">
        <v>2.4</v>
      </c>
      <c r="E1040" s="4">
        <v>0</v>
      </c>
      <c r="F1040" s="8">
        <v>0</v>
      </c>
      <c r="G1040" s="4">
        <v>3</v>
      </c>
      <c r="H1040" s="8">
        <v>7.32</v>
      </c>
      <c r="I1040" s="4">
        <v>0</v>
      </c>
    </row>
    <row r="1041" spans="1:9" x14ac:dyDescent="0.2">
      <c r="A1041" s="2">
        <v>16</v>
      </c>
      <c r="B1041" s="1" t="s">
        <v>110</v>
      </c>
      <c r="C1041" s="4">
        <v>2</v>
      </c>
      <c r="D1041" s="8">
        <v>1.6</v>
      </c>
      <c r="E1041" s="4">
        <v>1</v>
      </c>
      <c r="F1041" s="8">
        <v>1.19</v>
      </c>
      <c r="G1041" s="4">
        <v>1</v>
      </c>
      <c r="H1041" s="8">
        <v>2.44</v>
      </c>
      <c r="I1041" s="4">
        <v>0</v>
      </c>
    </row>
    <row r="1042" spans="1:9" x14ac:dyDescent="0.2">
      <c r="A1042" s="2">
        <v>16</v>
      </c>
      <c r="B1042" s="1" t="s">
        <v>129</v>
      </c>
      <c r="C1042" s="4">
        <v>2</v>
      </c>
      <c r="D1042" s="8">
        <v>1.6</v>
      </c>
      <c r="E1042" s="4">
        <v>1</v>
      </c>
      <c r="F1042" s="8">
        <v>1.19</v>
      </c>
      <c r="G1042" s="4">
        <v>1</v>
      </c>
      <c r="H1042" s="8">
        <v>2.44</v>
      </c>
      <c r="I1042" s="4">
        <v>0</v>
      </c>
    </row>
    <row r="1043" spans="1:9" x14ac:dyDescent="0.2">
      <c r="A1043" s="2">
        <v>16</v>
      </c>
      <c r="B1043" s="1" t="s">
        <v>89</v>
      </c>
      <c r="C1043" s="4">
        <v>2</v>
      </c>
      <c r="D1043" s="8">
        <v>1.6</v>
      </c>
      <c r="E1043" s="4">
        <v>1</v>
      </c>
      <c r="F1043" s="8">
        <v>1.19</v>
      </c>
      <c r="G1043" s="4">
        <v>1</v>
      </c>
      <c r="H1043" s="8">
        <v>2.44</v>
      </c>
      <c r="I1043" s="4">
        <v>0</v>
      </c>
    </row>
    <row r="1044" spans="1:9" x14ac:dyDescent="0.2">
      <c r="A1044" s="2">
        <v>16</v>
      </c>
      <c r="B1044" s="1" t="s">
        <v>99</v>
      </c>
      <c r="C1044" s="4">
        <v>2</v>
      </c>
      <c r="D1044" s="8">
        <v>1.6</v>
      </c>
      <c r="E1044" s="4">
        <v>0</v>
      </c>
      <c r="F1044" s="8">
        <v>0</v>
      </c>
      <c r="G1044" s="4">
        <v>2</v>
      </c>
      <c r="H1044" s="8">
        <v>4.88</v>
      </c>
      <c r="I1044" s="4">
        <v>0</v>
      </c>
    </row>
    <row r="1045" spans="1:9" x14ac:dyDescent="0.2">
      <c r="A1045" s="2">
        <v>20</v>
      </c>
      <c r="B1045" s="1" t="s">
        <v>123</v>
      </c>
      <c r="C1045" s="4">
        <v>1</v>
      </c>
      <c r="D1045" s="8">
        <v>0.8</v>
      </c>
      <c r="E1045" s="4">
        <v>1</v>
      </c>
      <c r="F1045" s="8">
        <v>1.19</v>
      </c>
      <c r="G1045" s="4">
        <v>0</v>
      </c>
      <c r="H1045" s="8">
        <v>0</v>
      </c>
      <c r="I1045" s="4">
        <v>0</v>
      </c>
    </row>
    <row r="1046" spans="1:9" x14ac:dyDescent="0.2">
      <c r="A1046" s="2">
        <v>20</v>
      </c>
      <c r="B1046" s="1" t="s">
        <v>124</v>
      </c>
      <c r="C1046" s="4">
        <v>1</v>
      </c>
      <c r="D1046" s="8">
        <v>0.8</v>
      </c>
      <c r="E1046" s="4">
        <v>1</v>
      </c>
      <c r="F1046" s="8">
        <v>1.19</v>
      </c>
      <c r="G1046" s="4">
        <v>0</v>
      </c>
      <c r="H1046" s="8">
        <v>0</v>
      </c>
      <c r="I1046" s="4">
        <v>0</v>
      </c>
    </row>
    <row r="1047" spans="1:9" x14ac:dyDescent="0.2">
      <c r="A1047" s="2">
        <v>20</v>
      </c>
      <c r="B1047" s="1" t="s">
        <v>125</v>
      </c>
      <c r="C1047" s="4">
        <v>1</v>
      </c>
      <c r="D1047" s="8">
        <v>0.8</v>
      </c>
      <c r="E1047" s="4">
        <v>0</v>
      </c>
      <c r="F1047" s="8">
        <v>0</v>
      </c>
      <c r="G1047" s="4">
        <v>1</v>
      </c>
      <c r="H1047" s="8">
        <v>2.44</v>
      </c>
      <c r="I1047" s="4">
        <v>0</v>
      </c>
    </row>
    <row r="1048" spans="1:9" x14ac:dyDescent="0.2">
      <c r="A1048" s="2">
        <v>20</v>
      </c>
      <c r="B1048" s="1" t="s">
        <v>126</v>
      </c>
      <c r="C1048" s="4">
        <v>1</v>
      </c>
      <c r="D1048" s="8">
        <v>0.8</v>
      </c>
      <c r="E1048" s="4">
        <v>0</v>
      </c>
      <c r="F1048" s="8">
        <v>0</v>
      </c>
      <c r="G1048" s="4">
        <v>1</v>
      </c>
      <c r="H1048" s="8">
        <v>2.44</v>
      </c>
      <c r="I1048" s="4">
        <v>0</v>
      </c>
    </row>
    <row r="1049" spans="1:9" x14ac:dyDescent="0.2">
      <c r="A1049" s="2">
        <v>20</v>
      </c>
      <c r="B1049" s="1" t="s">
        <v>127</v>
      </c>
      <c r="C1049" s="4">
        <v>1</v>
      </c>
      <c r="D1049" s="8">
        <v>0.8</v>
      </c>
      <c r="E1049" s="4">
        <v>1</v>
      </c>
      <c r="F1049" s="8">
        <v>1.19</v>
      </c>
      <c r="G1049" s="4">
        <v>0</v>
      </c>
      <c r="H1049" s="8">
        <v>0</v>
      </c>
      <c r="I1049" s="4">
        <v>0</v>
      </c>
    </row>
    <row r="1050" spans="1:9" x14ac:dyDescent="0.2">
      <c r="A1050" s="2">
        <v>20</v>
      </c>
      <c r="B1050" s="1" t="s">
        <v>128</v>
      </c>
      <c r="C1050" s="4">
        <v>1</v>
      </c>
      <c r="D1050" s="8">
        <v>0.8</v>
      </c>
      <c r="E1050" s="4">
        <v>1</v>
      </c>
      <c r="F1050" s="8">
        <v>1.19</v>
      </c>
      <c r="G1050" s="4">
        <v>0</v>
      </c>
      <c r="H1050" s="8">
        <v>0</v>
      </c>
      <c r="I1050" s="4">
        <v>0</v>
      </c>
    </row>
    <row r="1051" spans="1:9" x14ac:dyDescent="0.2">
      <c r="A1051" s="2">
        <v>20</v>
      </c>
      <c r="B1051" s="1" t="s">
        <v>117</v>
      </c>
      <c r="C1051" s="4">
        <v>1</v>
      </c>
      <c r="D1051" s="8">
        <v>0.8</v>
      </c>
      <c r="E1051" s="4">
        <v>0</v>
      </c>
      <c r="F1051" s="8">
        <v>0</v>
      </c>
      <c r="G1051" s="4">
        <v>1</v>
      </c>
      <c r="H1051" s="8">
        <v>2.44</v>
      </c>
      <c r="I1051" s="4">
        <v>0</v>
      </c>
    </row>
    <row r="1052" spans="1:9" x14ac:dyDescent="0.2">
      <c r="A1052" s="2">
        <v>20</v>
      </c>
      <c r="B1052" s="1" t="s">
        <v>114</v>
      </c>
      <c r="C1052" s="4">
        <v>1</v>
      </c>
      <c r="D1052" s="8">
        <v>0.8</v>
      </c>
      <c r="E1052" s="4">
        <v>0</v>
      </c>
      <c r="F1052" s="8">
        <v>0</v>
      </c>
      <c r="G1052" s="4">
        <v>1</v>
      </c>
      <c r="H1052" s="8">
        <v>2.44</v>
      </c>
      <c r="I1052" s="4">
        <v>0</v>
      </c>
    </row>
    <row r="1053" spans="1:9" x14ac:dyDescent="0.2">
      <c r="A1053" s="2">
        <v>20</v>
      </c>
      <c r="B1053" s="1" t="s">
        <v>87</v>
      </c>
      <c r="C1053" s="4">
        <v>1</v>
      </c>
      <c r="D1053" s="8">
        <v>0.8</v>
      </c>
      <c r="E1053" s="4">
        <v>0</v>
      </c>
      <c r="F1053" s="8">
        <v>0</v>
      </c>
      <c r="G1053" s="4">
        <v>1</v>
      </c>
      <c r="H1053" s="8">
        <v>2.44</v>
      </c>
      <c r="I1053" s="4">
        <v>0</v>
      </c>
    </row>
    <row r="1054" spans="1:9" x14ac:dyDescent="0.2">
      <c r="A1054" s="2">
        <v>20</v>
      </c>
      <c r="B1054" s="1" t="s">
        <v>104</v>
      </c>
      <c r="C1054" s="4">
        <v>1</v>
      </c>
      <c r="D1054" s="8">
        <v>0.8</v>
      </c>
      <c r="E1054" s="4">
        <v>1</v>
      </c>
      <c r="F1054" s="8">
        <v>1.19</v>
      </c>
      <c r="G1054" s="4">
        <v>0</v>
      </c>
      <c r="H1054" s="8">
        <v>0</v>
      </c>
      <c r="I1054" s="4">
        <v>0</v>
      </c>
    </row>
    <row r="1055" spans="1:9" x14ac:dyDescent="0.2">
      <c r="A1055" s="2">
        <v>20</v>
      </c>
      <c r="B1055" s="1" t="s">
        <v>113</v>
      </c>
      <c r="C1055" s="4">
        <v>1</v>
      </c>
      <c r="D1055" s="8">
        <v>0.8</v>
      </c>
      <c r="E1055" s="4">
        <v>1</v>
      </c>
      <c r="F1055" s="8">
        <v>1.19</v>
      </c>
      <c r="G1055" s="4">
        <v>0</v>
      </c>
      <c r="H1055" s="8">
        <v>0</v>
      </c>
      <c r="I1055" s="4">
        <v>0</v>
      </c>
    </row>
    <row r="1056" spans="1:9" x14ac:dyDescent="0.2">
      <c r="A1056" s="2">
        <v>20</v>
      </c>
      <c r="B1056" s="1" t="s">
        <v>118</v>
      </c>
      <c r="C1056" s="4">
        <v>1</v>
      </c>
      <c r="D1056" s="8">
        <v>0.8</v>
      </c>
      <c r="E1056" s="4">
        <v>0</v>
      </c>
      <c r="F1056" s="8">
        <v>0</v>
      </c>
      <c r="G1056" s="4">
        <v>1</v>
      </c>
      <c r="H1056" s="8">
        <v>2.44</v>
      </c>
      <c r="I1056" s="4">
        <v>0</v>
      </c>
    </row>
    <row r="1057" spans="1:9" x14ac:dyDescent="0.2">
      <c r="A1057" s="2">
        <v>20</v>
      </c>
      <c r="B1057" s="1" t="s">
        <v>96</v>
      </c>
      <c r="C1057" s="4">
        <v>1</v>
      </c>
      <c r="D1057" s="8">
        <v>0.8</v>
      </c>
      <c r="E1057" s="4">
        <v>0</v>
      </c>
      <c r="F1057" s="8">
        <v>0</v>
      </c>
      <c r="G1057" s="4">
        <v>1</v>
      </c>
      <c r="H1057" s="8">
        <v>2.44</v>
      </c>
      <c r="I1057" s="4">
        <v>0</v>
      </c>
    </row>
    <row r="1058" spans="1:9" x14ac:dyDescent="0.2">
      <c r="A1058" s="2">
        <v>20</v>
      </c>
      <c r="B1058" s="1" t="s">
        <v>107</v>
      </c>
      <c r="C1058" s="4">
        <v>1</v>
      </c>
      <c r="D1058" s="8">
        <v>0.8</v>
      </c>
      <c r="E1058" s="4">
        <v>0</v>
      </c>
      <c r="F1058" s="8">
        <v>0</v>
      </c>
      <c r="G1058" s="4">
        <v>1</v>
      </c>
      <c r="H1058" s="8">
        <v>2.44</v>
      </c>
      <c r="I1058" s="4">
        <v>0</v>
      </c>
    </row>
    <row r="1059" spans="1:9" x14ac:dyDescent="0.2">
      <c r="A1059" s="2">
        <v>20</v>
      </c>
      <c r="B1059" s="1" t="s">
        <v>130</v>
      </c>
      <c r="C1059" s="4">
        <v>1</v>
      </c>
      <c r="D1059" s="8">
        <v>0.8</v>
      </c>
      <c r="E1059" s="4">
        <v>0</v>
      </c>
      <c r="F1059" s="8">
        <v>0</v>
      </c>
      <c r="G1059" s="4">
        <v>1</v>
      </c>
      <c r="H1059" s="8">
        <v>2.44</v>
      </c>
      <c r="I1059" s="4">
        <v>0</v>
      </c>
    </row>
    <row r="1060" spans="1:9" x14ac:dyDescent="0.2">
      <c r="A1060" s="2">
        <v>20</v>
      </c>
      <c r="B1060" s="1" t="s">
        <v>105</v>
      </c>
      <c r="C1060" s="4">
        <v>1</v>
      </c>
      <c r="D1060" s="8">
        <v>0.8</v>
      </c>
      <c r="E1060" s="4">
        <v>0</v>
      </c>
      <c r="F1060" s="8">
        <v>0</v>
      </c>
      <c r="G1060" s="4">
        <v>1</v>
      </c>
      <c r="H1060" s="8">
        <v>2.44</v>
      </c>
      <c r="I1060" s="4">
        <v>0</v>
      </c>
    </row>
    <row r="1061" spans="1:9" x14ac:dyDescent="0.2">
      <c r="A1061" s="1"/>
      <c r="C1061" s="4"/>
      <c r="D1061" s="8"/>
      <c r="E1061" s="4"/>
      <c r="F1061" s="8"/>
      <c r="G1061" s="4"/>
      <c r="H1061" s="8"/>
      <c r="I1061" s="4"/>
    </row>
    <row r="1062" spans="1:9" x14ac:dyDescent="0.2">
      <c r="A1062" s="1" t="s">
        <v>47</v>
      </c>
      <c r="C1062" s="4"/>
      <c r="D1062" s="8"/>
      <c r="E1062" s="4"/>
      <c r="F1062" s="8"/>
      <c r="G1062" s="4"/>
      <c r="H1062" s="8"/>
      <c r="I1062" s="4"/>
    </row>
    <row r="1063" spans="1:9" x14ac:dyDescent="0.2">
      <c r="A1063" s="2">
        <v>1</v>
      </c>
      <c r="B1063" s="1" t="s">
        <v>98</v>
      </c>
      <c r="C1063" s="4">
        <v>48</v>
      </c>
      <c r="D1063" s="8">
        <v>11.27</v>
      </c>
      <c r="E1063" s="4">
        <v>43</v>
      </c>
      <c r="F1063" s="8">
        <v>16.23</v>
      </c>
      <c r="G1063" s="4">
        <v>5</v>
      </c>
      <c r="H1063" s="8">
        <v>3.16</v>
      </c>
      <c r="I1063" s="4">
        <v>0</v>
      </c>
    </row>
    <row r="1064" spans="1:9" x14ac:dyDescent="0.2">
      <c r="A1064" s="2">
        <v>2</v>
      </c>
      <c r="B1064" s="1" t="s">
        <v>84</v>
      </c>
      <c r="C1064" s="4">
        <v>45</v>
      </c>
      <c r="D1064" s="8">
        <v>10.56</v>
      </c>
      <c r="E1064" s="4">
        <v>18</v>
      </c>
      <c r="F1064" s="8">
        <v>6.79</v>
      </c>
      <c r="G1064" s="4">
        <v>27</v>
      </c>
      <c r="H1064" s="8">
        <v>17.09</v>
      </c>
      <c r="I1064" s="4">
        <v>0</v>
      </c>
    </row>
    <row r="1065" spans="1:9" x14ac:dyDescent="0.2">
      <c r="A1065" s="2">
        <v>3</v>
      </c>
      <c r="B1065" s="1" t="s">
        <v>85</v>
      </c>
      <c r="C1065" s="4">
        <v>36</v>
      </c>
      <c r="D1065" s="8">
        <v>8.4499999999999993</v>
      </c>
      <c r="E1065" s="4">
        <v>32</v>
      </c>
      <c r="F1065" s="8">
        <v>12.08</v>
      </c>
      <c r="G1065" s="4">
        <v>4</v>
      </c>
      <c r="H1065" s="8">
        <v>2.5299999999999998</v>
      </c>
      <c r="I1065" s="4">
        <v>0</v>
      </c>
    </row>
    <row r="1066" spans="1:9" x14ac:dyDescent="0.2">
      <c r="A1066" s="2">
        <v>4</v>
      </c>
      <c r="B1066" s="1" t="s">
        <v>97</v>
      </c>
      <c r="C1066" s="4">
        <v>33</v>
      </c>
      <c r="D1066" s="8">
        <v>7.75</v>
      </c>
      <c r="E1066" s="4">
        <v>30</v>
      </c>
      <c r="F1066" s="8">
        <v>11.32</v>
      </c>
      <c r="G1066" s="4">
        <v>3</v>
      </c>
      <c r="H1066" s="8">
        <v>1.9</v>
      </c>
      <c r="I1066" s="4">
        <v>0</v>
      </c>
    </row>
    <row r="1067" spans="1:9" x14ac:dyDescent="0.2">
      <c r="A1067" s="2">
        <v>5</v>
      </c>
      <c r="B1067" s="1" t="s">
        <v>90</v>
      </c>
      <c r="C1067" s="4">
        <v>30</v>
      </c>
      <c r="D1067" s="8">
        <v>7.04</v>
      </c>
      <c r="E1067" s="4">
        <v>24</v>
      </c>
      <c r="F1067" s="8">
        <v>9.06</v>
      </c>
      <c r="G1067" s="4">
        <v>6</v>
      </c>
      <c r="H1067" s="8">
        <v>3.8</v>
      </c>
      <c r="I1067" s="4">
        <v>0</v>
      </c>
    </row>
    <row r="1068" spans="1:9" x14ac:dyDescent="0.2">
      <c r="A1068" s="2">
        <v>5</v>
      </c>
      <c r="B1068" s="1" t="s">
        <v>92</v>
      </c>
      <c r="C1068" s="4">
        <v>30</v>
      </c>
      <c r="D1068" s="8">
        <v>7.04</v>
      </c>
      <c r="E1068" s="4">
        <v>20</v>
      </c>
      <c r="F1068" s="8">
        <v>7.55</v>
      </c>
      <c r="G1068" s="4">
        <v>10</v>
      </c>
      <c r="H1068" s="8">
        <v>6.33</v>
      </c>
      <c r="I1068" s="4">
        <v>0</v>
      </c>
    </row>
    <row r="1069" spans="1:9" x14ac:dyDescent="0.2">
      <c r="A1069" s="2">
        <v>7</v>
      </c>
      <c r="B1069" s="1" t="s">
        <v>94</v>
      </c>
      <c r="C1069" s="4">
        <v>24</v>
      </c>
      <c r="D1069" s="8">
        <v>5.63</v>
      </c>
      <c r="E1069" s="4">
        <v>16</v>
      </c>
      <c r="F1069" s="8">
        <v>6.04</v>
      </c>
      <c r="G1069" s="4">
        <v>8</v>
      </c>
      <c r="H1069" s="8">
        <v>5.0599999999999996</v>
      </c>
      <c r="I1069" s="4">
        <v>0</v>
      </c>
    </row>
    <row r="1070" spans="1:9" x14ac:dyDescent="0.2">
      <c r="A1070" s="2">
        <v>8</v>
      </c>
      <c r="B1070" s="1" t="s">
        <v>86</v>
      </c>
      <c r="C1070" s="4">
        <v>17</v>
      </c>
      <c r="D1070" s="8">
        <v>3.99</v>
      </c>
      <c r="E1070" s="4">
        <v>9</v>
      </c>
      <c r="F1070" s="8">
        <v>3.4</v>
      </c>
      <c r="G1070" s="4">
        <v>8</v>
      </c>
      <c r="H1070" s="8">
        <v>5.0599999999999996</v>
      </c>
      <c r="I1070" s="4">
        <v>0</v>
      </c>
    </row>
    <row r="1071" spans="1:9" x14ac:dyDescent="0.2">
      <c r="A1071" s="2">
        <v>9</v>
      </c>
      <c r="B1071" s="1" t="s">
        <v>91</v>
      </c>
      <c r="C1071" s="4">
        <v>15</v>
      </c>
      <c r="D1071" s="8">
        <v>3.52</v>
      </c>
      <c r="E1071" s="4">
        <v>8</v>
      </c>
      <c r="F1071" s="8">
        <v>3.02</v>
      </c>
      <c r="G1071" s="4">
        <v>7</v>
      </c>
      <c r="H1071" s="8">
        <v>4.43</v>
      </c>
      <c r="I1071" s="4">
        <v>0</v>
      </c>
    </row>
    <row r="1072" spans="1:9" x14ac:dyDescent="0.2">
      <c r="A1072" s="2">
        <v>9</v>
      </c>
      <c r="B1072" s="1" t="s">
        <v>103</v>
      </c>
      <c r="C1072" s="4">
        <v>15</v>
      </c>
      <c r="D1072" s="8">
        <v>3.52</v>
      </c>
      <c r="E1072" s="4">
        <v>11</v>
      </c>
      <c r="F1072" s="8">
        <v>4.1500000000000004</v>
      </c>
      <c r="G1072" s="4">
        <v>4</v>
      </c>
      <c r="H1072" s="8">
        <v>2.5299999999999998</v>
      </c>
      <c r="I1072" s="4">
        <v>0</v>
      </c>
    </row>
    <row r="1073" spans="1:9" x14ac:dyDescent="0.2">
      <c r="A1073" s="2">
        <v>11</v>
      </c>
      <c r="B1073" s="1" t="s">
        <v>101</v>
      </c>
      <c r="C1073" s="4">
        <v>12</v>
      </c>
      <c r="D1073" s="8">
        <v>2.82</v>
      </c>
      <c r="E1073" s="4">
        <v>11</v>
      </c>
      <c r="F1073" s="8">
        <v>4.1500000000000004</v>
      </c>
      <c r="G1073" s="4">
        <v>1</v>
      </c>
      <c r="H1073" s="8">
        <v>0.63</v>
      </c>
      <c r="I1073" s="4">
        <v>0</v>
      </c>
    </row>
    <row r="1074" spans="1:9" x14ac:dyDescent="0.2">
      <c r="A1074" s="2">
        <v>12</v>
      </c>
      <c r="B1074" s="1" t="s">
        <v>104</v>
      </c>
      <c r="C1074" s="4">
        <v>10</v>
      </c>
      <c r="D1074" s="8">
        <v>2.35</v>
      </c>
      <c r="E1074" s="4">
        <v>2</v>
      </c>
      <c r="F1074" s="8">
        <v>0.75</v>
      </c>
      <c r="G1074" s="4">
        <v>8</v>
      </c>
      <c r="H1074" s="8">
        <v>5.0599999999999996</v>
      </c>
      <c r="I1074" s="4">
        <v>0</v>
      </c>
    </row>
    <row r="1075" spans="1:9" x14ac:dyDescent="0.2">
      <c r="A1075" s="2">
        <v>13</v>
      </c>
      <c r="B1075" s="1" t="s">
        <v>89</v>
      </c>
      <c r="C1075" s="4">
        <v>9</v>
      </c>
      <c r="D1075" s="8">
        <v>2.11</v>
      </c>
      <c r="E1075" s="4">
        <v>8</v>
      </c>
      <c r="F1075" s="8">
        <v>3.02</v>
      </c>
      <c r="G1075" s="4">
        <v>1</v>
      </c>
      <c r="H1075" s="8">
        <v>0.63</v>
      </c>
      <c r="I1075" s="4">
        <v>0</v>
      </c>
    </row>
    <row r="1076" spans="1:9" x14ac:dyDescent="0.2">
      <c r="A1076" s="2">
        <v>13</v>
      </c>
      <c r="B1076" s="1" t="s">
        <v>95</v>
      </c>
      <c r="C1076" s="4">
        <v>9</v>
      </c>
      <c r="D1076" s="8">
        <v>2.11</v>
      </c>
      <c r="E1076" s="4">
        <v>8</v>
      </c>
      <c r="F1076" s="8">
        <v>3.02</v>
      </c>
      <c r="G1076" s="4">
        <v>1</v>
      </c>
      <c r="H1076" s="8">
        <v>0.63</v>
      </c>
      <c r="I1076" s="4">
        <v>0</v>
      </c>
    </row>
    <row r="1077" spans="1:9" x14ac:dyDescent="0.2">
      <c r="A1077" s="2">
        <v>13</v>
      </c>
      <c r="B1077" s="1" t="s">
        <v>96</v>
      </c>
      <c r="C1077" s="4">
        <v>9</v>
      </c>
      <c r="D1077" s="8">
        <v>2.11</v>
      </c>
      <c r="E1077" s="4">
        <v>5</v>
      </c>
      <c r="F1077" s="8">
        <v>1.89</v>
      </c>
      <c r="G1077" s="4">
        <v>4</v>
      </c>
      <c r="H1077" s="8">
        <v>2.5299999999999998</v>
      </c>
      <c r="I1077" s="4">
        <v>0</v>
      </c>
    </row>
    <row r="1078" spans="1:9" x14ac:dyDescent="0.2">
      <c r="A1078" s="2">
        <v>16</v>
      </c>
      <c r="B1078" s="1" t="s">
        <v>109</v>
      </c>
      <c r="C1078" s="4">
        <v>7</v>
      </c>
      <c r="D1078" s="8">
        <v>1.64</v>
      </c>
      <c r="E1078" s="4">
        <v>1</v>
      </c>
      <c r="F1078" s="8">
        <v>0.38</v>
      </c>
      <c r="G1078" s="4">
        <v>6</v>
      </c>
      <c r="H1078" s="8">
        <v>3.8</v>
      </c>
      <c r="I1078" s="4">
        <v>0</v>
      </c>
    </row>
    <row r="1079" spans="1:9" x14ac:dyDescent="0.2">
      <c r="A1079" s="2">
        <v>17</v>
      </c>
      <c r="B1079" s="1" t="s">
        <v>100</v>
      </c>
      <c r="C1079" s="4">
        <v>6</v>
      </c>
      <c r="D1079" s="8">
        <v>1.41</v>
      </c>
      <c r="E1079" s="4">
        <v>5</v>
      </c>
      <c r="F1079" s="8">
        <v>1.89</v>
      </c>
      <c r="G1079" s="4">
        <v>1</v>
      </c>
      <c r="H1079" s="8">
        <v>0.63</v>
      </c>
      <c r="I1079" s="4">
        <v>0</v>
      </c>
    </row>
    <row r="1080" spans="1:9" x14ac:dyDescent="0.2">
      <c r="A1080" s="2">
        <v>18</v>
      </c>
      <c r="B1080" s="1" t="s">
        <v>106</v>
      </c>
      <c r="C1080" s="4">
        <v>5</v>
      </c>
      <c r="D1080" s="8">
        <v>1.17</v>
      </c>
      <c r="E1080" s="4">
        <v>1</v>
      </c>
      <c r="F1080" s="8">
        <v>0.38</v>
      </c>
      <c r="G1080" s="4">
        <v>4</v>
      </c>
      <c r="H1080" s="8">
        <v>2.5299999999999998</v>
      </c>
      <c r="I1080" s="4">
        <v>0</v>
      </c>
    </row>
    <row r="1081" spans="1:9" x14ac:dyDescent="0.2">
      <c r="A1081" s="2">
        <v>18</v>
      </c>
      <c r="B1081" s="1" t="s">
        <v>93</v>
      </c>
      <c r="C1081" s="4">
        <v>5</v>
      </c>
      <c r="D1081" s="8">
        <v>1.17</v>
      </c>
      <c r="E1081" s="4">
        <v>0</v>
      </c>
      <c r="F1081" s="8">
        <v>0</v>
      </c>
      <c r="G1081" s="4">
        <v>5</v>
      </c>
      <c r="H1081" s="8">
        <v>3.16</v>
      </c>
      <c r="I1081" s="4">
        <v>0</v>
      </c>
    </row>
    <row r="1082" spans="1:9" x14ac:dyDescent="0.2">
      <c r="A1082" s="2">
        <v>20</v>
      </c>
      <c r="B1082" s="1" t="s">
        <v>116</v>
      </c>
      <c r="C1082" s="4">
        <v>4</v>
      </c>
      <c r="D1082" s="8">
        <v>0.94</v>
      </c>
      <c r="E1082" s="4">
        <v>4</v>
      </c>
      <c r="F1082" s="8">
        <v>1.51</v>
      </c>
      <c r="G1082" s="4">
        <v>0</v>
      </c>
      <c r="H1082" s="8">
        <v>0</v>
      </c>
      <c r="I1082" s="4">
        <v>0</v>
      </c>
    </row>
    <row r="1083" spans="1:9" x14ac:dyDescent="0.2">
      <c r="A1083" s="2">
        <v>20</v>
      </c>
      <c r="B1083" s="1" t="s">
        <v>131</v>
      </c>
      <c r="C1083" s="4">
        <v>4</v>
      </c>
      <c r="D1083" s="8">
        <v>0.94</v>
      </c>
      <c r="E1083" s="4">
        <v>0</v>
      </c>
      <c r="F1083" s="8">
        <v>0</v>
      </c>
      <c r="G1083" s="4">
        <v>4</v>
      </c>
      <c r="H1083" s="8">
        <v>2.5299999999999998</v>
      </c>
      <c r="I1083" s="4">
        <v>0</v>
      </c>
    </row>
    <row r="1084" spans="1:9" x14ac:dyDescent="0.2">
      <c r="A1084" s="2">
        <v>20</v>
      </c>
      <c r="B1084" s="1" t="s">
        <v>113</v>
      </c>
      <c r="C1084" s="4">
        <v>4</v>
      </c>
      <c r="D1084" s="8">
        <v>0.94</v>
      </c>
      <c r="E1084" s="4">
        <v>0</v>
      </c>
      <c r="F1084" s="8">
        <v>0</v>
      </c>
      <c r="G1084" s="4">
        <v>4</v>
      </c>
      <c r="H1084" s="8">
        <v>2.5299999999999998</v>
      </c>
      <c r="I1084" s="4">
        <v>0</v>
      </c>
    </row>
    <row r="1085" spans="1:9" x14ac:dyDescent="0.2">
      <c r="A1085" s="1"/>
      <c r="C1085" s="4"/>
      <c r="D1085" s="8"/>
      <c r="E1085" s="4"/>
      <c r="F1085" s="8"/>
      <c r="G1085" s="4"/>
      <c r="H1085" s="8"/>
      <c r="I1085" s="4"/>
    </row>
    <row r="1086" spans="1:9" x14ac:dyDescent="0.2">
      <c r="A1086" s="1" t="s">
        <v>48</v>
      </c>
      <c r="C1086" s="4"/>
      <c r="D1086" s="8"/>
      <c r="E1086" s="4"/>
      <c r="F1086" s="8"/>
      <c r="G1086" s="4"/>
      <c r="H1086" s="8"/>
      <c r="I1086" s="4"/>
    </row>
    <row r="1087" spans="1:9" x14ac:dyDescent="0.2">
      <c r="A1087" s="2">
        <v>1</v>
      </c>
      <c r="B1087" s="1" t="s">
        <v>98</v>
      </c>
      <c r="C1087" s="4">
        <v>45</v>
      </c>
      <c r="D1087" s="8">
        <v>14.15</v>
      </c>
      <c r="E1087" s="4">
        <v>40</v>
      </c>
      <c r="F1087" s="8">
        <v>17.39</v>
      </c>
      <c r="G1087" s="4">
        <v>5</v>
      </c>
      <c r="H1087" s="8">
        <v>6.02</v>
      </c>
      <c r="I1087" s="4">
        <v>0</v>
      </c>
    </row>
    <row r="1088" spans="1:9" x14ac:dyDescent="0.2">
      <c r="A1088" s="2">
        <v>2</v>
      </c>
      <c r="B1088" s="1" t="s">
        <v>85</v>
      </c>
      <c r="C1088" s="4">
        <v>30</v>
      </c>
      <c r="D1088" s="8">
        <v>9.43</v>
      </c>
      <c r="E1088" s="4">
        <v>22</v>
      </c>
      <c r="F1088" s="8">
        <v>9.57</v>
      </c>
      <c r="G1088" s="4">
        <v>8</v>
      </c>
      <c r="H1088" s="8">
        <v>9.64</v>
      </c>
      <c r="I1088" s="4">
        <v>0</v>
      </c>
    </row>
    <row r="1089" spans="1:9" x14ac:dyDescent="0.2">
      <c r="A1089" s="2">
        <v>3</v>
      </c>
      <c r="B1089" s="1" t="s">
        <v>92</v>
      </c>
      <c r="C1089" s="4">
        <v>29</v>
      </c>
      <c r="D1089" s="8">
        <v>9.1199999999999992</v>
      </c>
      <c r="E1089" s="4">
        <v>21</v>
      </c>
      <c r="F1089" s="8">
        <v>9.1300000000000008</v>
      </c>
      <c r="G1089" s="4">
        <v>8</v>
      </c>
      <c r="H1089" s="8">
        <v>9.64</v>
      </c>
      <c r="I1089" s="4">
        <v>0</v>
      </c>
    </row>
    <row r="1090" spans="1:9" x14ac:dyDescent="0.2">
      <c r="A1090" s="2">
        <v>4</v>
      </c>
      <c r="B1090" s="1" t="s">
        <v>133</v>
      </c>
      <c r="C1090" s="4">
        <v>28</v>
      </c>
      <c r="D1090" s="8">
        <v>8.81</v>
      </c>
      <c r="E1090" s="4">
        <v>26</v>
      </c>
      <c r="F1090" s="8">
        <v>11.3</v>
      </c>
      <c r="G1090" s="4">
        <v>2</v>
      </c>
      <c r="H1090" s="8">
        <v>2.41</v>
      </c>
      <c r="I1090" s="4">
        <v>0</v>
      </c>
    </row>
    <row r="1091" spans="1:9" x14ac:dyDescent="0.2">
      <c r="A1091" s="2">
        <v>5</v>
      </c>
      <c r="B1091" s="1" t="s">
        <v>84</v>
      </c>
      <c r="C1091" s="4">
        <v>27</v>
      </c>
      <c r="D1091" s="8">
        <v>8.49</v>
      </c>
      <c r="E1091" s="4">
        <v>15</v>
      </c>
      <c r="F1091" s="8">
        <v>6.52</v>
      </c>
      <c r="G1091" s="4">
        <v>12</v>
      </c>
      <c r="H1091" s="8">
        <v>14.46</v>
      </c>
      <c r="I1091" s="4">
        <v>0</v>
      </c>
    </row>
    <row r="1092" spans="1:9" x14ac:dyDescent="0.2">
      <c r="A1092" s="2">
        <v>5</v>
      </c>
      <c r="B1092" s="1" t="s">
        <v>97</v>
      </c>
      <c r="C1092" s="4">
        <v>27</v>
      </c>
      <c r="D1092" s="8">
        <v>8.49</v>
      </c>
      <c r="E1092" s="4">
        <v>25</v>
      </c>
      <c r="F1092" s="8">
        <v>10.87</v>
      </c>
      <c r="G1092" s="4">
        <v>2</v>
      </c>
      <c r="H1092" s="8">
        <v>2.41</v>
      </c>
      <c r="I1092" s="4">
        <v>0</v>
      </c>
    </row>
    <row r="1093" spans="1:9" x14ac:dyDescent="0.2">
      <c r="A1093" s="2">
        <v>7</v>
      </c>
      <c r="B1093" s="1" t="s">
        <v>90</v>
      </c>
      <c r="C1093" s="4">
        <v>22</v>
      </c>
      <c r="D1093" s="8">
        <v>6.92</v>
      </c>
      <c r="E1093" s="4">
        <v>18</v>
      </c>
      <c r="F1093" s="8">
        <v>7.83</v>
      </c>
      <c r="G1093" s="4">
        <v>4</v>
      </c>
      <c r="H1093" s="8">
        <v>4.82</v>
      </c>
      <c r="I1093" s="4">
        <v>0</v>
      </c>
    </row>
    <row r="1094" spans="1:9" x14ac:dyDescent="0.2">
      <c r="A1094" s="2">
        <v>8</v>
      </c>
      <c r="B1094" s="1" t="s">
        <v>86</v>
      </c>
      <c r="C1094" s="4">
        <v>13</v>
      </c>
      <c r="D1094" s="8">
        <v>4.09</v>
      </c>
      <c r="E1094" s="4">
        <v>7</v>
      </c>
      <c r="F1094" s="8">
        <v>3.04</v>
      </c>
      <c r="G1094" s="4">
        <v>6</v>
      </c>
      <c r="H1094" s="8">
        <v>7.23</v>
      </c>
      <c r="I1094" s="4">
        <v>0</v>
      </c>
    </row>
    <row r="1095" spans="1:9" x14ac:dyDescent="0.2">
      <c r="A1095" s="2">
        <v>9</v>
      </c>
      <c r="B1095" s="1" t="s">
        <v>101</v>
      </c>
      <c r="C1095" s="4">
        <v>11</v>
      </c>
      <c r="D1095" s="8">
        <v>3.46</v>
      </c>
      <c r="E1095" s="4">
        <v>10</v>
      </c>
      <c r="F1095" s="8">
        <v>4.3499999999999996</v>
      </c>
      <c r="G1095" s="4">
        <v>0</v>
      </c>
      <c r="H1095" s="8">
        <v>0</v>
      </c>
      <c r="I1095" s="4">
        <v>0</v>
      </c>
    </row>
    <row r="1096" spans="1:9" x14ac:dyDescent="0.2">
      <c r="A1096" s="2">
        <v>9</v>
      </c>
      <c r="B1096" s="1" t="s">
        <v>103</v>
      </c>
      <c r="C1096" s="4">
        <v>11</v>
      </c>
      <c r="D1096" s="8">
        <v>3.46</v>
      </c>
      <c r="E1096" s="4">
        <v>10</v>
      </c>
      <c r="F1096" s="8">
        <v>4.3499999999999996</v>
      </c>
      <c r="G1096" s="4">
        <v>1</v>
      </c>
      <c r="H1096" s="8">
        <v>1.2</v>
      </c>
      <c r="I1096" s="4">
        <v>0</v>
      </c>
    </row>
    <row r="1097" spans="1:9" x14ac:dyDescent="0.2">
      <c r="A1097" s="2">
        <v>11</v>
      </c>
      <c r="B1097" s="1" t="s">
        <v>89</v>
      </c>
      <c r="C1097" s="4">
        <v>9</v>
      </c>
      <c r="D1097" s="8">
        <v>2.83</v>
      </c>
      <c r="E1097" s="4">
        <v>7</v>
      </c>
      <c r="F1097" s="8">
        <v>3.04</v>
      </c>
      <c r="G1097" s="4">
        <v>2</v>
      </c>
      <c r="H1097" s="8">
        <v>2.41</v>
      </c>
      <c r="I1097" s="4">
        <v>0</v>
      </c>
    </row>
    <row r="1098" spans="1:9" x14ac:dyDescent="0.2">
      <c r="A1098" s="2">
        <v>11</v>
      </c>
      <c r="B1098" s="1" t="s">
        <v>91</v>
      </c>
      <c r="C1098" s="4">
        <v>9</v>
      </c>
      <c r="D1098" s="8">
        <v>2.83</v>
      </c>
      <c r="E1098" s="4">
        <v>6</v>
      </c>
      <c r="F1098" s="8">
        <v>2.61</v>
      </c>
      <c r="G1098" s="4">
        <v>3</v>
      </c>
      <c r="H1098" s="8">
        <v>3.61</v>
      </c>
      <c r="I1098" s="4">
        <v>0</v>
      </c>
    </row>
    <row r="1099" spans="1:9" x14ac:dyDescent="0.2">
      <c r="A1099" s="2">
        <v>11</v>
      </c>
      <c r="B1099" s="1" t="s">
        <v>100</v>
      </c>
      <c r="C1099" s="4">
        <v>9</v>
      </c>
      <c r="D1099" s="8">
        <v>2.83</v>
      </c>
      <c r="E1099" s="4">
        <v>6</v>
      </c>
      <c r="F1099" s="8">
        <v>2.61</v>
      </c>
      <c r="G1099" s="4">
        <v>2</v>
      </c>
      <c r="H1099" s="8">
        <v>2.41</v>
      </c>
      <c r="I1099" s="4">
        <v>0</v>
      </c>
    </row>
    <row r="1100" spans="1:9" x14ac:dyDescent="0.2">
      <c r="A1100" s="2">
        <v>14</v>
      </c>
      <c r="B1100" s="1" t="s">
        <v>102</v>
      </c>
      <c r="C1100" s="4">
        <v>5</v>
      </c>
      <c r="D1100" s="8">
        <v>1.57</v>
      </c>
      <c r="E1100" s="4">
        <v>0</v>
      </c>
      <c r="F1100" s="8">
        <v>0</v>
      </c>
      <c r="G1100" s="4">
        <v>4</v>
      </c>
      <c r="H1100" s="8">
        <v>4.82</v>
      </c>
      <c r="I1100" s="4">
        <v>0</v>
      </c>
    </row>
    <row r="1101" spans="1:9" x14ac:dyDescent="0.2">
      <c r="A1101" s="2">
        <v>15</v>
      </c>
      <c r="B1101" s="1" t="s">
        <v>106</v>
      </c>
      <c r="C1101" s="4">
        <v>4</v>
      </c>
      <c r="D1101" s="8">
        <v>1.26</v>
      </c>
      <c r="E1101" s="4">
        <v>1</v>
      </c>
      <c r="F1101" s="8">
        <v>0.43</v>
      </c>
      <c r="G1101" s="4">
        <v>3</v>
      </c>
      <c r="H1101" s="8">
        <v>3.61</v>
      </c>
      <c r="I1101" s="4">
        <v>0</v>
      </c>
    </row>
    <row r="1102" spans="1:9" x14ac:dyDescent="0.2">
      <c r="A1102" s="2">
        <v>16</v>
      </c>
      <c r="B1102" s="1" t="s">
        <v>134</v>
      </c>
      <c r="C1102" s="4">
        <v>3</v>
      </c>
      <c r="D1102" s="8">
        <v>0.94</v>
      </c>
      <c r="E1102" s="4">
        <v>1</v>
      </c>
      <c r="F1102" s="8">
        <v>0.43</v>
      </c>
      <c r="G1102" s="4">
        <v>2</v>
      </c>
      <c r="H1102" s="8">
        <v>2.41</v>
      </c>
      <c r="I1102" s="4">
        <v>0</v>
      </c>
    </row>
    <row r="1103" spans="1:9" x14ac:dyDescent="0.2">
      <c r="A1103" s="2">
        <v>16</v>
      </c>
      <c r="B1103" s="1" t="s">
        <v>104</v>
      </c>
      <c r="C1103" s="4">
        <v>3</v>
      </c>
      <c r="D1103" s="8">
        <v>0.94</v>
      </c>
      <c r="E1103" s="4">
        <v>2</v>
      </c>
      <c r="F1103" s="8">
        <v>0.87</v>
      </c>
      <c r="G1103" s="4">
        <v>1</v>
      </c>
      <c r="H1103" s="8">
        <v>1.2</v>
      </c>
      <c r="I1103" s="4">
        <v>0</v>
      </c>
    </row>
    <row r="1104" spans="1:9" x14ac:dyDescent="0.2">
      <c r="A1104" s="2">
        <v>16</v>
      </c>
      <c r="B1104" s="1" t="s">
        <v>96</v>
      </c>
      <c r="C1104" s="4">
        <v>3</v>
      </c>
      <c r="D1104" s="8">
        <v>0.94</v>
      </c>
      <c r="E1104" s="4">
        <v>0</v>
      </c>
      <c r="F1104" s="8">
        <v>0</v>
      </c>
      <c r="G1104" s="4">
        <v>3</v>
      </c>
      <c r="H1104" s="8">
        <v>3.61</v>
      </c>
      <c r="I1104" s="4">
        <v>0</v>
      </c>
    </row>
    <row r="1105" spans="1:9" x14ac:dyDescent="0.2">
      <c r="A1105" s="2">
        <v>16</v>
      </c>
      <c r="B1105" s="1" t="s">
        <v>107</v>
      </c>
      <c r="C1105" s="4">
        <v>3</v>
      </c>
      <c r="D1105" s="8">
        <v>0.94</v>
      </c>
      <c r="E1105" s="4">
        <v>1</v>
      </c>
      <c r="F1105" s="8">
        <v>0.43</v>
      </c>
      <c r="G1105" s="4">
        <v>1</v>
      </c>
      <c r="H1105" s="8">
        <v>1.2</v>
      </c>
      <c r="I1105" s="4">
        <v>0</v>
      </c>
    </row>
    <row r="1106" spans="1:9" x14ac:dyDescent="0.2">
      <c r="A1106" s="2">
        <v>20</v>
      </c>
      <c r="B1106" s="1" t="s">
        <v>132</v>
      </c>
      <c r="C1106" s="4">
        <v>2</v>
      </c>
      <c r="D1106" s="8">
        <v>0.63</v>
      </c>
      <c r="E1106" s="4">
        <v>2</v>
      </c>
      <c r="F1106" s="8">
        <v>0.87</v>
      </c>
      <c r="G1106" s="4">
        <v>0</v>
      </c>
      <c r="H1106" s="8">
        <v>0</v>
      </c>
      <c r="I1106" s="4">
        <v>0</v>
      </c>
    </row>
    <row r="1107" spans="1:9" x14ac:dyDescent="0.2">
      <c r="A1107" s="2">
        <v>20</v>
      </c>
      <c r="B1107" s="1" t="s">
        <v>119</v>
      </c>
      <c r="C1107" s="4">
        <v>2</v>
      </c>
      <c r="D1107" s="8">
        <v>0.63</v>
      </c>
      <c r="E1107" s="4">
        <v>1</v>
      </c>
      <c r="F1107" s="8">
        <v>0.43</v>
      </c>
      <c r="G1107" s="4">
        <v>1</v>
      </c>
      <c r="H1107" s="8">
        <v>1.2</v>
      </c>
      <c r="I1107" s="4">
        <v>0</v>
      </c>
    </row>
    <row r="1108" spans="1:9" x14ac:dyDescent="0.2">
      <c r="A1108" s="2">
        <v>20</v>
      </c>
      <c r="B1108" s="1" t="s">
        <v>131</v>
      </c>
      <c r="C1108" s="4">
        <v>2</v>
      </c>
      <c r="D1108" s="8">
        <v>0.63</v>
      </c>
      <c r="E1108" s="4">
        <v>0</v>
      </c>
      <c r="F1108" s="8">
        <v>0</v>
      </c>
      <c r="G1108" s="4">
        <v>2</v>
      </c>
      <c r="H1108" s="8">
        <v>2.41</v>
      </c>
      <c r="I1108" s="4">
        <v>0</v>
      </c>
    </row>
    <row r="1109" spans="1:9" x14ac:dyDescent="0.2">
      <c r="A1109" s="2">
        <v>20</v>
      </c>
      <c r="B1109" s="1" t="s">
        <v>109</v>
      </c>
      <c r="C1109" s="4">
        <v>2</v>
      </c>
      <c r="D1109" s="8">
        <v>0.63</v>
      </c>
      <c r="E1109" s="4">
        <v>0</v>
      </c>
      <c r="F1109" s="8">
        <v>0</v>
      </c>
      <c r="G1109" s="4">
        <v>2</v>
      </c>
      <c r="H1109" s="8">
        <v>2.41</v>
      </c>
      <c r="I1109" s="4">
        <v>0</v>
      </c>
    </row>
    <row r="1110" spans="1:9" x14ac:dyDescent="0.2">
      <c r="A1110" s="2">
        <v>20</v>
      </c>
      <c r="B1110" s="1" t="s">
        <v>94</v>
      </c>
      <c r="C1110" s="4">
        <v>2</v>
      </c>
      <c r="D1110" s="8">
        <v>0.63</v>
      </c>
      <c r="E1110" s="4">
        <v>2</v>
      </c>
      <c r="F1110" s="8">
        <v>0.87</v>
      </c>
      <c r="G1110" s="4">
        <v>0</v>
      </c>
      <c r="H1110" s="8">
        <v>0</v>
      </c>
      <c r="I1110" s="4">
        <v>0</v>
      </c>
    </row>
    <row r="1111" spans="1:9" x14ac:dyDescent="0.2">
      <c r="A1111" s="2">
        <v>20</v>
      </c>
      <c r="B1111" s="1" t="s">
        <v>112</v>
      </c>
      <c r="C1111" s="4">
        <v>2</v>
      </c>
      <c r="D1111" s="8">
        <v>0.63</v>
      </c>
      <c r="E1111" s="4">
        <v>2</v>
      </c>
      <c r="F1111" s="8">
        <v>0.87</v>
      </c>
      <c r="G1111" s="4">
        <v>0</v>
      </c>
      <c r="H1111" s="8">
        <v>0</v>
      </c>
      <c r="I1111" s="4">
        <v>0</v>
      </c>
    </row>
    <row r="1112" spans="1:9" x14ac:dyDescent="0.2">
      <c r="A1112" s="1"/>
      <c r="C1112" s="4"/>
      <c r="D1112" s="8"/>
      <c r="E1112" s="4"/>
      <c r="F1112" s="8"/>
      <c r="G1112" s="4"/>
      <c r="H1112" s="8"/>
      <c r="I1112" s="4"/>
    </row>
    <row r="1113" spans="1:9" x14ac:dyDescent="0.2">
      <c r="A1113" s="1" t="s">
        <v>49</v>
      </c>
      <c r="C1113" s="4"/>
      <c r="D1113" s="8"/>
      <c r="E1113" s="4"/>
      <c r="F1113" s="8"/>
      <c r="G1113" s="4"/>
      <c r="H1113" s="8"/>
      <c r="I1113" s="4"/>
    </row>
    <row r="1114" spans="1:9" x14ac:dyDescent="0.2">
      <c r="A1114" s="2">
        <v>1</v>
      </c>
      <c r="B1114" s="1" t="s">
        <v>98</v>
      </c>
      <c r="C1114" s="4">
        <v>53</v>
      </c>
      <c r="D1114" s="8">
        <v>12.27</v>
      </c>
      <c r="E1114" s="4">
        <v>47</v>
      </c>
      <c r="F1114" s="8">
        <v>19.11</v>
      </c>
      <c r="G1114" s="4">
        <v>6</v>
      </c>
      <c r="H1114" s="8">
        <v>3.3</v>
      </c>
      <c r="I1114" s="4">
        <v>0</v>
      </c>
    </row>
    <row r="1115" spans="1:9" x14ac:dyDescent="0.2">
      <c r="A1115" s="2">
        <v>2</v>
      </c>
      <c r="B1115" s="1" t="s">
        <v>97</v>
      </c>
      <c r="C1115" s="4">
        <v>49</v>
      </c>
      <c r="D1115" s="8">
        <v>11.34</v>
      </c>
      <c r="E1115" s="4">
        <v>39</v>
      </c>
      <c r="F1115" s="8">
        <v>15.85</v>
      </c>
      <c r="G1115" s="4">
        <v>10</v>
      </c>
      <c r="H1115" s="8">
        <v>5.49</v>
      </c>
      <c r="I1115" s="4">
        <v>0</v>
      </c>
    </row>
    <row r="1116" spans="1:9" x14ac:dyDescent="0.2">
      <c r="A1116" s="2">
        <v>3</v>
      </c>
      <c r="B1116" s="1" t="s">
        <v>84</v>
      </c>
      <c r="C1116" s="4">
        <v>41</v>
      </c>
      <c r="D1116" s="8">
        <v>9.49</v>
      </c>
      <c r="E1116" s="4">
        <v>13</v>
      </c>
      <c r="F1116" s="8">
        <v>5.28</v>
      </c>
      <c r="G1116" s="4">
        <v>28</v>
      </c>
      <c r="H1116" s="8">
        <v>15.38</v>
      </c>
      <c r="I1116" s="4">
        <v>0</v>
      </c>
    </row>
    <row r="1117" spans="1:9" x14ac:dyDescent="0.2">
      <c r="A1117" s="2">
        <v>4</v>
      </c>
      <c r="B1117" s="1" t="s">
        <v>110</v>
      </c>
      <c r="C1117" s="4">
        <v>30</v>
      </c>
      <c r="D1117" s="8">
        <v>6.94</v>
      </c>
      <c r="E1117" s="4">
        <v>17</v>
      </c>
      <c r="F1117" s="8">
        <v>6.91</v>
      </c>
      <c r="G1117" s="4">
        <v>13</v>
      </c>
      <c r="H1117" s="8">
        <v>7.14</v>
      </c>
      <c r="I1117" s="4">
        <v>0</v>
      </c>
    </row>
    <row r="1118" spans="1:9" x14ac:dyDescent="0.2">
      <c r="A1118" s="2">
        <v>5</v>
      </c>
      <c r="B1118" s="1" t="s">
        <v>92</v>
      </c>
      <c r="C1118" s="4">
        <v>27</v>
      </c>
      <c r="D1118" s="8">
        <v>6.25</v>
      </c>
      <c r="E1118" s="4">
        <v>12</v>
      </c>
      <c r="F1118" s="8">
        <v>4.88</v>
      </c>
      <c r="G1118" s="4">
        <v>15</v>
      </c>
      <c r="H1118" s="8">
        <v>8.24</v>
      </c>
      <c r="I1118" s="4">
        <v>0</v>
      </c>
    </row>
    <row r="1119" spans="1:9" x14ac:dyDescent="0.2">
      <c r="A1119" s="2">
        <v>6</v>
      </c>
      <c r="B1119" s="1" t="s">
        <v>85</v>
      </c>
      <c r="C1119" s="4">
        <v>23</v>
      </c>
      <c r="D1119" s="8">
        <v>5.32</v>
      </c>
      <c r="E1119" s="4">
        <v>16</v>
      </c>
      <c r="F1119" s="8">
        <v>6.5</v>
      </c>
      <c r="G1119" s="4">
        <v>7</v>
      </c>
      <c r="H1119" s="8">
        <v>3.85</v>
      </c>
      <c r="I1119" s="4">
        <v>0</v>
      </c>
    </row>
    <row r="1120" spans="1:9" x14ac:dyDescent="0.2">
      <c r="A1120" s="2">
        <v>6</v>
      </c>
      <c r="B1120" s="1" t="s">
        <v>86</v>
      </c>
      <c r="C1120" s="4">
        <v>23</v>
      </c>
      <c r="D1120" s="8">
        <v>5.32</v>
      </c>
      <c r="E1120" s="4">
        <v>8</v>
      </c>
      <c r="F1120" s="8">
        <v>3.25</v>
      </c>
      <c r="G1120" s="4">
        <v>15</v>
      </c>
      <c r="H1120" s="8">
        <v>8.24</v>
      </c>
      <c r="I1120" s="4">
        <v>0</v>
      </c>
    </row>
    <row r="1121" spans="1:9" x14ac:dyDescent="0.2">
      <c r="A1121" s="2">
        <v>6</v>
      </c>
      <c r="B1121" s="1" t="s">
        <v>90</v>
      </c>
      <c r="C1121" s="4">
        <v>23</v>
      </c>
      <c r="D1121" s="8">
        <v>5.32</v>
      </c>
      <c r="E1121" s="4">
        <v>20</v>
      </c>
      <c r="F1121" s="8">
        <v>8.1300000000000008</v>
      </c>
      <c r="G1121" s="4">
        <v>3</v>
      </c>
      <c r="H1121" s="8">
        <v>1.65</v>
      </c>
      <c r="I1121" s="4">
        <v>0</v>
      </c>
    </row>
    <row r="1122" spans="1:9" x14ac:dyDescent="0.2">
      <c r="A1122" s="2">
        <v>9</v>
      </c>
      <c r="B1122" s="1" t="s">
        <v>103</v>
      </c>
      <c r="C1122" s="4">
        <v>15</v>
      </c>
      <c r="D1122" s="8">
        <v>3.47</v>
      </c>
      <c r="E1122" s="4">
        <v>9</v>
      </c>
      <c r="F1122" s="8">
        <v>3.66</v>
      </c>
      <c r="G1122" s="4">
        <v>6</v>
      </c>
      <c r="H1122" s="8">
        <v>3.3</v>
      </c>
      <c r="I1122" s="4">
        <v>0</v>
      </c>
    </row>
    <row r="1123" spans="1:9" x14ac:dyDescent="0.2">
      <c r="A1123" s="2">
        <v>10</v>
      </c>
      <c r="B1123" s="1" t="s">
        <v>101</v>
      </c>
      <c r="C1123" s="4">
        <v>12</v>
      </c>
      <c r="D1123" s="8">
        <v>2.78</v>
      </c>
      <c r="E1123" s="4">
        <v>12</v>
      </c>
      <c r="F1123" s="8">
        <v>4.88</v>
      </c>
      <c r="G1123" s="4">
        <v>0</v>
      </c>
      <c r="H1123" s="8">
        <v>0</v>
      </c>
      <c r="I1123" s="4">
        <v>0</v>
      </c>
    </row>
    <row r="1124" spans="1:9" x14ac:dyDescent="0.2">
      <c r="A1124" s="2">
        <v>11</v>
      </c>
      <c r="B1124" s="1" t="s">
        <v>91</v>
      </c>
      <c r="C1124" s="4">
        <v>10</v>
      </c>
      <c r="D1124" s="8">
        <v>2.31</v>
      </c>
      <c r="E1124" s="4">
        <v>7</v>
      </c>
      <c r="F1124" s="8">
        <v>2.85</v>
      </c>
      <c r="G1124" s="4">
        <v>3</v>
      </c>
      <c r="H1124" s="8">
        <v>1.65</v>
      </c>
      <c r="I1124" s="4">
        <v>0</v>
      </c>
    </row>
    <row r="1125" spans="1:9" x14ac:dyDescent="0.2">
      <c r="A1125" s="2">
        <v>12</v>
      </c>
      <c r="B1125" s="1" t="s">
        <v>94</v>
      </c>
      <c r="C1125" s="4">
        <v>9</v>
      </c>
      <c r="D1125" s="8">
        <v>2.08</v>
      </c>
      <c r="E1125" s="4">
        <v>1</v>
      </c>
      <c r="F1125" s="8">
        <v>0.41</v>
      </c>
      <c r="G1125" s="4">
        <v>8</v>
      </c>
      <c r="H1125" s="8">
        <v>4.4000000000000004</v>
      </c>
      <c r="I1125" s="4">
        <v>0</v>
      </c>
    </row>
    <row r="1126" spans="1:9" x14ac:dyDescent="0.2">
      <c r="A1126" s="2">
        <v>12</v>
      </c>
      <c r="B1126" s="1" t="s">
        <v>111</v>
      </c>
      <c r="C1126" s="4">
        <v>9</v>
      </c>
      <c r="D1126" s="8">
        <v>2.08</v>
      </c>
      <c r="E1126" s="4">
        <v>4</v>
      </c>
      <c r="F1126" s="8">
        <v>1.63</v>
      </c>
      <c r="G1126" s="4">
        <v>5</v>
      </c>
      <c r="H1126" s="8">
        <v>2.75</v>
      </c>
      <c r="I1126" s="4">
        <v>0</v>
      </c>
    </row>
    <row r="1127" spans="1:9" x14ac:dyDescent="0.2">
      <c r="A1127" s="2">
        <v>14</v>
      </c>
      <c r="B1127" s="1" t="s">
        <v>89</v>
      </c>
      <c r="C1127" s="4">
        <v>8</v>
      </c>
      <c r="D1127" s="8">
        <v>1.85</v>
      </c>
      <c r="E1127" s="4">
        <v>5</v>
      </c>
      <c r="F1127" s="8">
        <v>2.0299999999999998</v>
      </c>
      <c r="G1127" s="4">
        <v>3</v>
      </c>
      <c r="H1127" s="8">
        <v>1.65</v>
      </c>
      <c r="I1127" s="4">
        <v>0</v>
      </c>
    </row>
    <row r="1128" spans="1:9" x14ac:dyDescent="0.2">
      <c r="A1128" s="2">
        <v>15</v>
      </c>
      <c r="B1128" s="1" t="s">
        <v>96</v>
      </c>
      <c r="C1128" s="4">
        <v>7</v>
      </c>
      <c r="D1128" s="8">
        <v>1.62</v>
      </c>
      <c r="E1128" s="4">
        <v>2</v>
      </c>
      <c r="F1128" s="8">
        <v>0.81</v>
      </c>
      <c r="G1128" s="4">
        <v>5</v>
      </c>
      <c r="H1128" s="8">
        <v>2.75</v>
      </c>
      <c r="I1128" s="4">
        <v>0</v>
      </c>
    </row>
    <row r="1129" spans="1:9" x14ac:dyDescent="0.2">
      <c r="A1129" s="2">
        <v>16</v>
      </c>
      <c r="B1129" s="1" t="s">
        <v>117</v>
      </c>
      <c r="C1129" s="4">
        <v>6</v>
      </c>
      <c r="D1129" s="8">
        <v>1.39</v>
      </c>
      <c r="E1129" s="4">
        <v>1</v>
      </c>
      <c r="F1129" s="8">
        <v>0.41</v>
      </c>
      <c r="G1129" s="4">
        <v>5</v>
      </c>
      <c r="H1129" s="8">
        <v>2.75</v>
      </c>
      <c r="I1129" s="4">
        <v>0</v>
      </c>
    </row>
    <row r="1130" spans="1:9" x14ac:dyDescent="0.2">
      <c r="A1130" s="2">
        <v>17</v>
      </c>
      <c r="B1130" s="1" t="s">
        <v>106</v>
      </c>
      <c r="C1130" s="4">
        <v>5</v>
      </c>
      <c r="D1130" s="8">
        <v>1.1599999999999999</v>
      </c>
      <c r="E1130" s="4">
        <v>2</v>
      </c>
      <c r="F1130" s="8">
        <v>0.81</v>
      </c>
      <c r="G1130" s="4">
        <v>3</v>
      </c>
      <c r="H1130" s="8">
        <v>1.65</v>
      </c>
      <c r="I1130" s="4">
        <v>0</v>
      </c>
    </row>
    <row r="1131" spans="1:9" x14ac:dyDescent="0.2">
      <c r="A1131" s="2">
        <v>17</v>
      </c>
      <c r="B1131" s="1" t="s">
        <v>87</v>
      </c>
      <c r="C1131" s="4">
        <v>5</v>
      </c>
      <c r="D1131" s="8">
        <v>1.1599999999999999</v>
      </c>
      <c r="E1131" s="4">
        <v>3</v>
      </c>
      <c r="F1131" s="8">
        <v>1.22</v>
      </c>
      <c r="G1131" s="4">
        <v>2</v>
      </c>
      <c r="H1131" s="8">
        <v>1.1000000000000001</v>
      </c>
      <c r="I1131" s="4">
        <v>0</v>
      </c>
    </row>
    <row r="1132" spans="1:9" x14ac:dyDescent="0.2">
      <c r="A1132" s="2">
        <v>17</v>
      </c>
      <c r="B1132" s="1" t="s">
        <v>100</v>
      </c>
      <c r="C1132" s="4">
        <v>5</v>
      </c>
      <c r="D1132" s="8">
        <v>1.1599999999999999</v>
      </c>
      <c r="E1132" s="4">
        <v>4</v>
      </c>
      <c r="F1132" s="8">
        <v>1.63</v>
      </c>
      <c r="G1132" s="4">
        <v>0</v>
      </c>
      <c r="H1132" s="8">
        <v>0</v>
      </c>
      <c r="I1132" s="4">
        <v>0</v>
      </c>
    </row>
    <row r="1133" spans="1:9" x14ac:dyDescent="0.2">
      <c r="A1133" s="2">
        <v>17</v>
      </c>
      <c r="B1133" s="1" t="s">
        <v>102</v>
      </c>
      <c r="C1133" s="4">
        <v>5</v>
      </c>
      <c r="D1133" s="8">
        <v>1.1599999999999999</v>
      </c>
      <c r="E1133" s="4">
        <v>0</v>
      </c>
      <c r="F1133" s="8">
        <v>0</v>
      </c>
      <c r="G1133" s="4">
        <v>3</v>
      </c>
      <c r="H1133" s="8">
        <v>1.65</v>
      </c>
      <c r="I1133" s="4">
        <v>0</v>
      </c>
    </row>
    <row r="1134" spans="1:9" x14ac:dyDescent="0.2">
      <c r="A1134" s="1"/>
      <c r="C1134" s="4"/>
      <c r="D1134" s="8"/>
      <c r="E1134" s="4"/>
      <c r="F1134" s="8"/>
      <c r="G1134" s="4"/>
      <c r="H1134" s="8"/>
      <c r="I1134" s="4"/>
    </row>
    <row r="1135" spans="1:9" x14ac:dyDescent="0.2">
      <c r="A1135" s="1" t="s">
        <v>50</v>
      </c>
      <c r="C1135" s="4"/>
      <c r="D1135" s="8"/>
      <c r="E1135" s="4"/>
      <c r="F1135" s="8"/>
      <c r="G1135" s="4"/>
      <c r="H1135" s="8"/>
      <c r="I1135" s="4"/>
    </row>
    <row r="1136" spans="1:9" x14ac:dyDescent="0.2">
      <c r="A1136" s="2">
        <v>1</v>
      </c>
      <c r="B1136" s="1" t="s">
        <v>84</v>
      </c>
      <c r="C1136" s="4">
        <v>21</v>
      </c>
      <c r="D1136" s="8">
        <v>10.19</v>
      </c>
      <c r="E1136" s="4">
        <v>8</v>
      </c>
      <c r="F1136" s="8">
        <v>12.12</v>
      </c>
      <c r="G1136" s="4">
        <v>13</v>
      </c>
      <c r="H1136" s="8">
        <v>9.42</v>
      </c>
      <c r="I1136" s="4">
        <v>0</v>
      </c>
    </row>
    <row r="1137" spans="1:9" x14ac:dyDescent="0.2">
      <c r="A1137" s="2">
        <v>2</v>
      </c>
      <c r="B1137" s="1" t="s">
        <v>92</v>
      </c>
      <c r="C1137" s="4">
        <v>14</v>
      </c>
      <c r="D1137" s="8">
        <v>6.8</v>
      </c>
      <c r="E1137" s="4">
        <v>3</v>
      </c>
      <c r="F1137" s="8">
        <v>4.55</v>
      </c>
      <c r="G1137" s="4">
        <v>11</v>
      </c>
      <c r="H1137" s="8">
        <v>7.97</v>
      </c>
      <c r="I1137" s="4">
        <v>0</v>
      </c>
    </row>
    <row r="1138" spans="1:9" x14ac:dyDescent="0.2">
      <c r="A1138" s="2">
        <v>2</v>
      </c>
      <c r="B1138" s="1" t="s">
        <v>97</v>
      </c>
      <c r="C1138" s="4">
        <v>14</v>
      </c>
      <c r="D1138" s="8">
        <v>6.8</v>
      </c>
      <c r="E1138" s="4">
        <v>10</v>
      </c>
      <c r="F1138" s="8">
        <v>15.15</v>
      </c>
      <c r="G1138" s="4">
        <v>4</v>
      </c>
      <c r="H1138" s="8">
        <v>2.9</v>
      </c>
      <c r="I1138" s="4">
        <v>0</v>
      </c>
    </row>
    <row r="1139" spans="1:9" x14ac:dyDescent="0.2">
      <c r="A1139" s="2">
        <v>2</v>
      </c>
      <c r="B1139" s="1" t="s">
        <v>98</v>
      </c>
      <c r="C1139" s="4">
        <v>14</v>
      </c>
      <c r="D1139" s="8">
        <v>6.8</v>
      </c>
      <c r="E1139" s="4">
        <v>13</v>
      </c>
      <c r="F1139" s="8">
        <v>19.7</v>
      </c>
      <c r="G1139" s="4">
        <v>1</v>
      </c>
      <c r="H1139" s="8">
        <v>0.72</v>
      </c>
      <c r="I1139" s="4">
        <v>0</v>
      </c>
    </row>
    <row r="1140" spans="1:9" x14ac:dyDescent="0.2">
      <c r="A1140" s="2">
        <v>5</v>
      </c>
      <c r="B1140" s="1" t="s">
        <v>115</v>
      </c>
      <c r="C1140" s="4">
        <v>10</v>
      </c>
      <c r="D1140" s="8">
        <v>4.8499999999999996</v>
      </c>
      <c r="E1140" s="4">
        <v>0</v>
      </c>
      <c r="F1140" s="8">
        <v>0</v>
      </c>
      <c r="G1140" s="4">
        <v>10</v>
      </c>
      <c r="H1140" s="8">
        <v>7.25</v>
      </c>
      <c r="I1140" s="4">
        <v>0</v>
      </c>
    </row>
    <row r="1141" spans="1:9" x14ac:dyDescent="0.2">
      <c r="A1141" s="2">
        <v>5</v>
      </c>
      <c r="B1141" s="1" t="s">
        <v>103</v>
      </c>
      <c r="C1141" s="4">
        <v>10</v>
      </c>
      <c r="D1141" s="8">
        <v>4.8499999999999996</v>
      </c>
      <c r="E1141" s="4">
        <v>5</v>
      </c>
      <c r="F1141" s="8">
        <v>7.58</v>
      </c>
      <c r="G1141" s="4">
        <v>5</v>
      </c>
      <c r="H1141" s="8">
        <v>3.62</v>
      </c>
      <c r="I1141" s="4">
        <v>0</v>
      </c>
    </row>
    <row r="1142" spans="1:9" x14ac:dyDescent="0.2">
      <c r="A1142" s="2">
        <v>7</v>
      </c>
      <c r="B1142" s="1" t="s">
        <v>85</v>
      </c>
      <c r="C1142" s="4">
        <v>9</v>
      </c>
      <c r="D1142" s="8">
        <v>4.37</v>
      </c>
      <c r="E1142" s="4">
        <v>3</v>
      </c>
      <c r="F1142" s="8">
        <v>4.55</v>
      </c>
      <c r="G1142" s="4">
        <v>6</v>
      </c>
      <c r="H1142" s="8">
        <v>4.3499999999999996</v>
      </c>
      <c r="I1142" s="4">
        <v>0</v>
      </c>
    </row>
    <row r="1143" spans="1:9" x14ac:dyDescent="0.2">
      <c r="A1143" s="2">
        <v>7</v>
      </c>
      <c r="B1143" s="1" t="s">
        <v>106</v>
      </c>
      <c r="C1143" s="4">
        <v>9</v>
      </c>
      <c r="D1143" s="8">
        <v>4.37</v>
      </c>
      <c r="E1143" s="4">
        <v>1</v>
      </c>
      <c r="F1143" s="8">
        <v>1.52</v>
      </c>
      <c r="G1143" s="4">
        <v>8</v>
      </c>
      <c r="H1143" s="8">
        <v>5.8</v>
      </c>
      <c r="I1143" s="4">
        <v>0</v>
      </c>
    </row>
    <row r="1144" spans="1:9" x14ac:dyDescent="0.2">
      <c r="A1144" s="2">
        <v>7</v>
      </c>
      <c r="B1144" s="1" t="s">
        <v>90</v>
      </c>
      <c r="C1144" s="4">
        <v>9</v>
      </c>
      <c r="D1144" s="8">
        <v>4.37</v>
      </c>
      <c r="E1144" s="4">
        <v>6</v>
      </c>
      <c r="F1144" s="8">
        <v>9.09</v>
      </c>
      <c r="G1144" s="4">
        <v>3</v>
      </c>
      <c r="H1144" s="8">
        <v>2.17</v>
      </c>
      <c r="I1144" s="4">
        <v>0</v>
      </c>
    </row>
    <row r="1145" spans="1:9" x14ac:dyDescent="0.2">
      <c r="A1145" s="2">
        <v>10</v>
      </c>
      <c r="B1145" s="1" t="s">
        <v>121</v>
      </c>
      <c r="C1145" s="4">
        <v>8</v>
      </c>
      <c r="D1145" s="8">
        <v>3.88</v>
      </c>
      <c r="E1145" s="4">
        <v>0</v>
      </c>
      <c r="F1145" s="8">
        <v>0</v>
      </c>
      <c r="G1145" s="4">
        <v>8</v>
      </c>
      <c r="H1145" s="8">
        <v>5.8</v>
      </c>
      <c r="I1145" s="4">
        <v>0</v>
      </c>
    </row>
    <row r="1146" spans="1:9" x14ac:dyDescent="0.2">
      <c r="A1146" s="2">
        <v>10</v>
      </c>
      <c r="B1146" s="1" t="s">
        <v>94</v>
      </c>
      <c r="C1146" s="4">
        <v>8</v>
      </c>
      <c r="D1146" s="8">
        <v>3.88</v>
      </c>
      <c r="E1146" s="4">
        <v>0</v>
      </c>
      <c r="F1146" s="8">
        <v>0</v>
      </c>
      <c r="G1146" s="4">
        <v>8</v>
      </c>
      <c r="H1146" s="8">
        <v>5.8</v>
      </c>
      <c r="I1146" s="4">
        <v>0</v>
      </c>
    </row>
    <row r="1147" spans="1:9" x14ac:dyDescent="0.2">
      <c r="A1147" s="2">
        <v>12</v>
      </c>
      <c r="B1147" s="1" t="s">
        <v>87</v>
      </c>
      <c r="C1147" s="4">
        <v>6</v>
      </c>
      <c r="D1147" s="8">
        <v>2.91</v>
      </c>
      <c r="E1147" s="4">
        <v>0</v>
      </c>
      <c r="F1147" s="8">
        <v>0</v>
      </c>
      <c r="G1147" s="4">
        <v>6</v>
      </c>
      <c r="H1147" s="8">
        <v>4.3499999999999996</v>
      </c>
      <c r="I1147" s="4">
        <v>0</v>
      </c>
    </row>
    <row r="1148" spans="1:9" x14ac:dyDescent="0.2">
      <c r="A1148" s="2">
        <v>13</v>
      </c>
      <c r="B1148" s="1" t="s">
        <v>86</v>
      </c>
      <c r="C1148" s="4">
        <v>4</v>
      </c>
      <c r="D1148" s="8">
        <v>1.94</v>
      </c>
      <c r="E1148" s="4">
        <v>2</v>
      </c>
      <c r="F1148" s="8">
        <v>3.03</v>
      </c>
      <c r="G1148" s="4">
        <v>2</v>
      </c>
      <c r="H1148" s="8">
        <v>1.45</v>
      </c>
      <c r="I1148" s="4">
        <v>0</v>
      </c>
    </row>
    <row r="1149" spans="1:9" x14ac:dyDescent="0.2">
      <c r="A1149" s="2">
        <v>13</v>
      </c>
      <c r="B1149" s="1" t="s">
        <v>123</v>
      </c>
      <c r="C1149" s="4">
        <v>4</v>
      </c>
      <c r="D1149" s="8">
        <v>1.94</v>
      </c>
      <c r="E1149" s="4">
        <v>2</v>
      </c>
      <c r="F1149" s="8">
        <v>3.03</v>
      </c>
      <c r="G1149" s="4">
        <v>2</v>
      </c>
      <c r="H1149" s="8">
        <v>1.45</v>
      </c>
      <c r="I1149" s="4">
        <v>0</v>
      </c>
    </row>
    <row r="1150" spans="1:9" x14ac:dyDescent="0.2">
      <c r="A1150" s="2">
        <v>13</v>
      </c>
      <c r="B1150" s="1" t="s">
        <v>114</v>
      </c>
      <c r="C1150" s="4">
        <v>4</v>
      </c>
      <c r="D1150" s="8">
        <v>1.94</v>
      </c>
      <c r="E1150" s="4">
        <v>0</v>
      </c>
      <c r="F1150" s="8">
        <v>0</v>
      </c>
      <c r="G1150" s="4">
        <v>4</v>
      </c>
      <c r="H1150" s="8">
        <v>2.9</v>
      </c>
      <c r="I1150" s="4">
        <v>0</v>
      </c>
    </row>
    <row r="1151" spans="1:9" x14ac:dyDescent="0.2">
      <c r="A1151" s="2">
        <v>13</v>
      </c>
      <c r="B1151" s="1" t="s">
        <v>100</v>
      </c>
      <c r="C1151" s="4">
        <v>4</v>
      </c>
      <c r="D1151" s="8">
        <v>1.94</v>
      </c>
      <c r="E1151" s="4">
        <v>3</v>
      </c>
      <c r="F1151" s="8">
        <v>4.55</v>
      </c>
      <c r="G1151" s="4">
        <v>0</v>
      </c>
      <c r="H1151" s="8">
        <v>0</v>
      </c>
      <c r="I1151" s="4">
        <v>0</v>
      </c>
    </row>
    <row r="1152" spans="1:9" x14ac:dyDescent="0.2">
      <c r="A1152" s="2">
        <v>13</v>
      </c>
      <c r="B1152" s="1" t="s">
        <v>101</v>
      </c>
      <c r="C1152" s="4">
        <v>4</v>
      </c>
      <c r="D1152" s="8">
        <v>1.94</v>
      </c>
      <c r="E1152" s="4">
        <v>3</v>
      </c>
      <c r="F1152" s="8">
        <v>4.55</v>
      </c>
      <c r="G1152" s="4">
        <v>1</v>
      </c>
      <c r="H1152" s="8">
        <v>0.72</v>
      </c>
      <c r="I1152" s="4">
        <v>0</v>
      </c>
    </row>
    <row r="1153" spans="1:9" x14ac:dyDescent="0.2">
      <c r="A1153" s="2">
        <v>13</v>
      </c>
      <c r="B1153" s="1" t="s">
        <v>105</v>
      </c>
      <c r="C1153" s="4">
        <v>4</v>
      </c>
      <c r="D1153" s="8">
        <v>1.94</v>
      </c>
      <c r="E1153" s="4">
        <v>0</v>
      </c>
      <c r="F1153" s="8">
        <v>0</v>
      </c>
      <c r="G1153" s="4">
        <v>4</v>
      </c>
      <c r="H1153" s="8">
        <v>2.9</v>
      </c>
      <c r="I1153" s="4">
        <v>0</v>
      </c>
    </row>
    <row r="1154" spans="1:9" x14ac:dyDescent="0.2">
      <c r="A1154" s="2">
        <v>19</v>
      </c>
      <c r="B1154" s="1" t="s">
        <v>126</v>
      </c>
      <c r="C1154" s="4">
        <v>3</v>
      </c>
      <c r="D1154" s="8">
        <v>1.46</v>
      </c>
      <c r="E1154" s="4">
        <v>1</v>
      </c>
      <c r="F1154" s="8">
        <v>1.52</v>
      </c>
      <c r="G1154" s="4">
        <v>2</v>
      </c>
      <c r="H1154" s="8">
        <v>1.45</v>
      </c>
      <c r="I1154" s="4">
        <v>0</v>
      </c>
    </row>
    <row r="1155" spans="1:9" x14ac:dyDescent="0.2">
      <c r="A1155" s="2">
        <v>19</v>
      </c>
      <c r="B1155" s="1" t="s">
        <v>109</v>
      </c>
      <c r="C1155" s="4">
        <v>3</v>
      </c>
      <c r="D1155" s="8">
        <v>1.46</v>
      </c>
      <c r="E1155" s="4">
        <v>0</v>
      </c>
      <c r="F1155" s="8">
        <v>0</v>
      </c>
      <c r="G1155" s="4">
        <v>3</v>
      </c>
      <c r="H1155" s="8">
        <v>2.17</v>
      </c>
      <c r="I1155" s="4">
        <v>0</v>
      </c>
    </row>
    <row r="1156" spans="1:9" x14ac:dyDescent="0.2">
      <c r="A1156" s="2">
        <v>19</v>
      </c>
      <c r="B1156" s="1" t="s">
        <v>120</v>
      </c>
      <c r="C1156" s="4">
        <v>3</v>
      </c>
      <c r="D1156" s="8">
        <v>1.46</v>
      </c>
      <c r="E1156" s="4">
        <v>0</v>
      </c>
      <c r="F1156" s="8">
        <v>0</v>
      </c>
      <c r="G1156" s="4">
        <v>3</v>
      </c>
      <c r="H1156" s="8">
        <v>2.17</v>
      </c>
      <c r="I1156" s="4">
        <v>0</v>
      </c>
    </row>
    <row r="1157" spans="1:9" x14ac:dyDescent="0.2">
      <c r="A1157" s="2">
        <v>19</v>
      </c>
      <c r="B1157" s="1" t="s">
        <v>96</v>
      </c>
      <c r="C1157" s="4">
        <v>3</v>
      </c>
      <c r="D1157" s="8">
        <v>1.46</v>
      </c>
      <c r="E1157" s="4">
        <v>1</v>
      </c>
      <c r="F1157" s="8">
        <v>1.52</v>
      </c>
      <c r="G1157" s="4">
        <v>2</v>
      </c>
      <c r="H1157" s="8">
        <v>1.45</v>
      </c>
      <c r="I1157" s="4">
        <v>0</v>
      </c>
    </row>
    <row r="1158" spans="1:9" x14ac:dyDescent="0.2">
      <c r="A1158" s="1"/>
      <c r="C1158" s="4"/>
      <c r="D1158" s="8"/>
      <c r="E1158" s="4"/>
      <c r="F1158" s="8"/>
      <c r="G1158" s="4"/>
      <c r="H1158" s="8"/>
      <c r="I1158" s="4"/>
    </row>
    <row r="1159" spans="1:9" x14ac:dyDescent="0.2">
      <c r="A1159" s="1" t="s">
        <v>51</v>
      </c>
      <c r="C1159" s="4"/>
      <c r="D1159" s="8"/>
      <c r="E1159" s="4"/>
      <c r="F1159" s="8"/>
      <c r="G1159" s="4"/>
      <c r="H1159" s="8"/>
      <c r="I1159" s="4"/>
    </row>
    <row r="1160" spans="1:9" x14ac:dyDescent="0.2">
      <c r="A1160" s="2">
        <v>1</v>
      </c>
      <c r="B1160" s="1" t="s">
        <v>98</v>
      </c>
      <c r="C1160" s="4">
        <v>61</v>
      </c>
      <c r="D1160" s="8">
        <v>11.53</v>
      </c>
      <c r="E1160" s="4">
        <v>58</v>
      </c>
      <c r="F1160" s="8">
        <v>18.95</v>
      </c>
      <c r="G1160" s="4">
        <v>3</v>
      </c>
      <c r="H1160" s="8">
        <v>1.37</v>
      </c>
      <c r="I1160" s="4">
        <v>0</v>
      </c>
    </row>
    <row r="1161" spans="1:9" x14ac:dyDescent="0.2">
      <c r="A1161" s="2">
        <v>2</v>
      </c>
      <c r="B1161" s="1" t="s">
        <v>85</v>
      </c>
      <c r="C1161" s="4">
        <v>57</v>
      </c>
      <c r="D1161" s="8">
        <v>10.78</v>
      </c>
      <c r="E1161" s="4">
        <v>35</v>
      </c>
      <c r="F1161" s="8">
        <v>11.44</v>
      </c>
      <c r="G1161" s="4">
        <v>22</v>
      </c>
      <c r="H1161" s="8">
        <v>10.050000000000001</v>
      </c>
      <c r="I1161" s="4">
        <v>0</v>
      </c>
    </row>
    <row r="1162" spans="1:9" x14ac:dyDescent="0.2">
      <c r="A1162" s="2">
        <v>3</v>
      </c>
      <c r="B1162" s="1" t="s">
        <v>84</v>
      </c>
      <c r="C1162" s="4">
        <v>49</v>
      </c>
      <c r="D1162" s="8">
        <v>9.26</v>
      </c>
      <c r="E1162" s="4">
        <v>16</v>
      </c>
      <c r="F1162" s="8">
        <v>5.23</v>
      </c>
      <c r="G1162" s="4">
        <v>33</v>
      </c>
      <c r="H1162" s="8">
        <v>15.07</v>
      </c>
      <c r="I1162" s="4">
        <v>0</v>
      </c>
    </row>
    <row r="1163" spans="1:9" x14ac:dyDescent="0.2">
      <c r="A1163" s="2">
        <v>4</v>
      </c>
      <c r="B1163" s="1" t="s">
        <v>97</v>
      </c>
      <c r="C1163" s="4">
        <v>46</v>
      </c>
      <c r="D1163" s="8">
        <v>8.6999999999999993</v>
      </c>
      <c r="E1163" s="4">
        <v>40</v>
      </c>
      <c r="F1163" s="8">
        <v>13.07</v>
      </c>
      <c r="G1163" s="4">
        <v>5</v>
      </c>
      <c r="H1163" s="8">
        <v>2.2799999999999998</v>
      </c>
      <c r="I1163" s="4">
        <v>1</v>
      </c>
    </row>
    <row r="1164" spans="1:9" x14ac:dyDescent="0.2">
      <c r="A1164" s="2">
        <v>5</v>
      </c>
      <c r="B1164" s="1" t="s">
        <v>92</v>
      </c>
      <c r="C1164" s="4">
        <v>37</v>
      </c>
      <c r="D1164" s="8">
        <v>6.99</v>
      </c>
      <c r="E1164" s="4">
        <v>15</v>
      </c>
      <c r="F1164" s="8">
        <v>4.9000000000000004</v>
      </c>
      <c r="G1164" s="4">
        <v>22</v>
      </c>
      <c r="H1164" s="8">
        <v>10.050000000000001</v>
      </c>
      <c r="I1164" s="4">
        <v>0</v>
      </c>
    </row>
    <row r="1165" spans="1:9" x14ac:dyDescent="0.2">
      <c r="A1165" s="2">
        <v>6</v>
      </c>
      <c r="B1165" s="1" t="s">
        <v>86</v>
      </c>
      <c r="C1165" s="4">
        <v>25</v>
      </c>
      <c r="D1165" s="8">
        <v>4.7300000000000004</v>
      </c>
      <c r="E1165" s="4">
        <v>13</v>
      </c>
      <c r="F1165" s="8">
        <v>4.25</v>
      </c>
      <c r="G1165" s="4">
        <v>12</v>
      </c>
      <c r="H1165" s="8">
        <v>5.48</v>
      </c>
      <c r="I1165" s="4">
        <v>0</v>
      </c>
    </row>
    <row r="1166" spans="1:9" x14ac:dyDescent="0.2">
      <c r="A1166" s="2">
        <v>7</v>
      </c>
      <c r="B1166" s="1" t="s">
        <v>90</v>
      </c>
      <c r="C1166" s="4">
        <v>23</v>
      </c>
      <c r="D1166" s="8">
        <v>4.3499999999999996</v>
      </c>
      <c r="E1166" s="4">
        <v>12</v>
      </c>
      <c r="F1166" s="8">
        <v>3.92</v>
      </c>
      <c r="G1166" s="4">
        <v>11</v>
      </c>
      <c r="H1166" s="8">
        <v>5.0199999999999996</v>
      </c>
      <c r="I1166" s="4">
        <v>0</v>
      </c>
    </row>
    <row r="1167" spans="1:9" x14ac:dyDescent="0.2">
      <c r="A1167" s="2">
        <v>8</v>
      </c>
      <c r="B1167" s="1" t="s">
        <v>91</v>
      </c>
      <c r="C1167" s="4">
        <v>21</v>
      </c>
      <c r="D1167" s="8">
        <v>3.97</v>
      </c>
      <c r="E1167" s="4">
        <v>12</v>
      </c>
      <c r="F1167" s="8">
        <v>3.92</v>
      </c>
      <c r="G1167" s="4">
        <v>9</v>
      </c>
      <c r="H1167" s="8">
        <v>4.1100000000000003</v>
      </c>
      <c r="I1167" s="4">
        <v>0</v>
      </c>
    </row>
    <row r="1168" spans="1:9" x14ac:dyDescent="0.2">
      <c r="A1168" s="2">
        <v>8</v>
      </c>
      <c r="B1168" s="1" t="s">
        <v>94</v>
      </c>
      <c r="C1168" s="4">
        <v>21</v>
      </c>
      <c r="D1168" s="8">
        <v>3.97</v>
      </c>
      <c r="E1168" s="4">
        <v>13</v>
      </c>
      <c r="F1168" s="8">
        <v>4.25</v>
      </c>
      <c r="G1168" s="4">
        <v>8</v>
      </c>
      <c r="H1168" s="8">
        <v>3.65</v>
      </c>
      <c r="I1168" s="4">
        <v>0</v>
      </c>
    </row>
    <row r="1169" spans="1:9" x14ac:dyDescent="0.2">
      <c r="A1169" s="2">
        <v>10</v>
      </c>
      <c r="B1169" s="1" t="s">
        <v>103</v>
      </c>
      <c r="C1169" s="4">
        <v>15</v>
      </c>
      <c r="D1169" s="8">
        <v>2.84</v>
      </c>
      <c r="E1169" s="4">
        <v>12</v>
      </c>
      <c r="F1169" s="8">
        <v>3.92</v>
      </c>
      <c r="G1169" s="4">
        <v>3</v>
      </c>
      <c r="H1169" s="8">
        <v>1.37</v>
      </c>
      <c r="I1169" s="4">
        <v>0</v>
      </c>
    </row>
    <row r="1170" spans="1:9" x14ac:dyDescent="0.2">
      <c r="A1170" s="2">
        <v>11</v>
      </c>
      <c r="B1170" s="1" t="s">
        <v>95</v>
      </c>
      <c r="C1170" s="4">
        <v>10</v>
      </c>
      <c r="D1170" s="8">
        <v>1.89</v>
      </c>
      <c r="E1170" s="4">
        <v>9</v>
      </c>
      <c r="F1170" s="8">
        <v>2.94</v>
      </c>
      <c r="G1170" s="4">
        <v>1</v>
      </c>
      <c r="H1170" s="8">
        <v>0.46</v>
      </c>
      <c r="I1170" s="4">
        <v>0</v>
      </c>
    </row>
    <row r="1171" spans="1:9" x14ac:dyDescent="0.2">
      <c r="A1171" s="2">
        <v>11</v>
      </c>
      <c r="B1171" s="1" t="s">
        <v>100</v>
      </c>
      <c r="C1171" s="4">
        <v>10</v>
      </c>
      <c r="D1171" s="8">
        <v>1.89</v>
      </c>
      <c r="E1171" s="4">
        <v>8</v>
      </c>
      <c r="F1171" s="8">
        <v>2.61</v>
      </c>
      <c r="G1171" s="4">
        <v>2</v>
      </c>
      <c r="H1171" s="8">
        <v>0.91</v>
      </c>
      <c r="I1171" s="4">
        <v>0</v>
      </c>
    </row>
    <row r="1172" spans="1:9" x14ac:dyDescent="0.2">
      <c r="A1172" s="2">
        <v>11</v>
      </c>
      <c r="B1172" s="1" t="s">
        <v>101</v>
      </c>
      <c r="C1172" s="4">
        <v>10</v>
      </c>
      <c r="D1172" s="8">
        <v>1.89</v>
      </c>
      <c r="E1172" s="4">
        <v>10</v>
      </c>
      <c r="F1172" s="8">
        <v>3.27</v>
      </c>
      <c r="G1172" s="4">
        <v>0</v>
      </c>
      <c r="H1172" s="8">
        <v>0</v>
      </c>
      <c r="I1172" s="4">
        <v>0</v>
      </c>
    </row>
    <row r="1173" spans="1:9" x14ac:dyDescent="0.2">
      <c r="A1173" s="2">
        <v>14</v>
      </c>
      <c r="B1173" s="1" t="s">
        <v>106</v>
      </c>
      <c r="C1173" s="4">
        <v>9</v>
      </c>
      <c r="D1173" s="8">
        <v>1.7</v>
      </c>
      <c r="E1173" s="4">
        <v>5</v>
      </c>
      <c r="F1173" s="8">
        <v>1.63</v>
      </c>
      <c r="G1173" s="4">
        <v>4</v>
      </c>
      <c r="H1173" s="8">
        <v>1.83</v>
      </c>
      <c r="I1173" s="4">
        <v>0</v>
      </c>
    </row>
    <row r="1174" spans="1:9" x14ac:dyDescent="0.2">
      <c r="A1174" s="2">
        <v>14</v>
      </c>
      <c r="B1174" s="1" t="s">
        <v>104</v>
      </c>
      <c r="C1174" s="4">
        <v>9</v>
      </c>
      <c r="D1174" s="8">
        <v>1.7</v>
      </c>
      <c r="E1174" s="4">
        <v>2</v>
      </c>
      <c r="F1174" s="8">
        <v>0.65</v>
      </c>
      <c r="G1174" s="4">
        <v>7</v>
      </c>
      <c r="H1174" s="8">
        <v>3.2</v>
      </c>
      <c r="I1174" s="4">
        <v>0</v>
      </c>
    </row>
    <row r="1175" spans="1:9" x14ac:dyDescent="0.2">
      <c r="A1175" s="2">
        <v>14</v>
      </c>
      <c r="B1175" s="1" t="s">
        <v>89</v>
      </c>
      <c r="C1175" s="4">
        <v>9</v>
      </c>
      <c r="D1175" s="8">
        <v>1.7</v>
      </c>
      <c r="E1175" s="4">
        <v>4</v>
      </c>
      <c r="F1175" s="8">
        <v>1.31</v>
      </c>
      <c r="G1175" s="4">
        <v>5</v>
      </c>
      <c r="H1175" s="8">
        <v>2.2799999999999998</v>
      </c>
      <c r="I1175" s="4">
        <v>0</v>
      </c>
    </row>
    <row r="1176" spans="1:9" x14ac:dyDescent="0.2">
      <c r="A1176" s="2">
        <v>17</v>
      </c>
      <c r="B1176" s="1" t="s">
        <v>93</v>
      </c>
      <c r="C1176" s="4">
        <v>8</v>
      </c>
      <c r="D1176" s="8">
        <v>1.51</v>
      </c>
      <c r="E1176" s="4">
        <v>1</v>
      </c>
      <c r="F1176" s="8">
        <v>0.33</v>
      </c>
      <c r="G1176" s="4">
        <v>7</v>
      </c>
      <c r="H1176" s="8">
        <v>3.2</v>
      </c>
      <c r="I1176" s="4">
        <v>0</v>
      </c>
    </row>
    <row r="1177" spans="1:9" x14ac:dyDescent="0.2">
      <c r="A1177" s="2">
        <v>17</v>
      </c>
      <c r="B1177" s="1" t="s">
        <v>111</v>
      </c>
      <c r="C1177" s="4">
        <v>8</v>
      </c>
      <c r="D1177" s="8">
        <v>1.51</v>
      </c>
      <c r="E1177" s="4">
        <v>5</v>
      </c>
      <c r="F1177" s="8">
        <v>1.63</v>
      </c>
      <c r="G1177" s="4">
        <v>3</v>
      </c>
      <c r="H1177" s="8">
        <v>1.37</v>
      </c>
      <c r="I1177" s="4">
        <v>0</v>
      </c>
    </row>
    <row r="1178" spans="1:9" x14ac:dyDescent="0.2">
      <c r="A1178" s="2">
        <v>19</v>
      </c>
      <c r="B1178" s="1" t="s">
        <v>113</v>
      </c>
      <c r="C1178" s="4">
        <v>7</v>
      </c>
      <c r="D1178" s="8">
        <v>1.32</v>
      </c>
      <c r="E1178" s="4">
        <v>3</v>
      </c>
      <c r="F1178" s="8">
        <v>0.98</v>
      </c>
      <c r="G1178" s="4">
        <v>4</v>
      </c>
      <c r="H1178" s="8">
        <v>1.83</v>
      </c>
      <c r="I1178" s="4">
        <v>0</v>
      </c>
    </row>
    <row r="1179" spans="1:9" x14ac:dyDescent="0.2">
      <c r="A1179" s="2">
        <v>20</v>
      </c>
      <c r="B1179" s="1" t="s">
        <v>114</v>
      </c>
      <c r="C1179" s="4">
        <v>6</v>
      </c>
      <c r="D1179" s="8">
        <v>1.1299999999999999</v>
      </c>
      <c r="E1179" s="4">
        <v>0</v>
      </c>
      <c r="F1179" s="8">
        <v>0</v>
      </c>
      <c r="G1179" s="4">
        <v>6</v>
      </c>
      <c r="H1179" s="8">
        <v>2.74</v>
      </c>
      <c r="I1179" s="4">
        <v>0</v>
      </c>
    </row>
    <row r="1180" spans="1:9" x14ac:dyDescent="0.2">
      <c r="A1180" s="2">
        <v>20</v>
      </c>
      <c r="B1180" s="1" t="s">
        <v>109</v>
      </c>
      <c r="C1180" s="4">
        <v>6</v>
      </c>
      <c r="D1180" s="8">
        <v>1.1299999999999999</v>
      </c>
      <c r="E1180" s="4">
        <v>3</v>
      </c>
      <c r="F1180" s="8">
        <v>0.98</v>
      </c>
      <c r="G1180" s="4">
        <v>3</v>
      </c>
      <c r="H1180" s="8">
        <v>1.37</v>
      </c>
      <c r="I1180" s="4">
        <v>0</v>
      </c>
    </row>
    <row r="1181" spans="1:9" x14ac:dyDescent="0.2">
      <c r="A1181" s="2">
        <v>20</v>
      </c>
      <c r="B1181" s="1" t="s">
        <v>120</v>
      </c>
      <c r="C1181" s="4">
        <v>6</v>
      </c>
      <c r="D1181" s="8">
        <v>1.1299999999999999</v>
      </c>
      <c r="E1181" s="4">
        <v>3</v>
      </c>
      <c r="F1181" s="8">
        <v>0.98</v>
      </c>
      <c r="G1181" s="4">
        <v>3</v>
      </c>
      <c r="H1181" s="8">
        <v>1.37</v>
      </c>
      <c r="I1181" s="4">
        <v>0</v>
      </c>
    </row>
    <row r="1182" spans="1:9" x14ac:dyDescent="0.2">
      <c r="A1182" s="2">
        <v>20</v>
      </c>
      <c r="B1182" s="1" t="s">
        <v>99</v>
      </c>
      <c r="C1182" s="4">
        <v>6</v>
      </c>
      <c r="D1182" s="8">
        <v>1.1299999999999999</v>
      </c>
      <c r="E1182" s="4">
        <v>5</v>
      </c>
      <c r="F1182" s="8">
        <v>1.63</v>
      </c>
      <c r="G1182" s="4">
        <v>1</v>
      </c>
      <c r="H1182" s="8">
        <v>0.46</v>
      </c>
      <c r="I1182" s="4">
        <v>0</v>
      </c>
    </row>
    <row r="1183" spans="1:9" x14ac:dyDescent="0.2">
      <c r="A1183" s="2">
        <v>20</v>
      </c>
      <c r="B1183" s="1" t="s">
        <v>105</v>
      </c>
      <c r="C1183" s="4">
        <v>6</v>
      </c>
      <c r="D1183" s="8">
        <v>1.1299999999999999</v>
      </c>
      <c r="E1183" s="4">
        <v>1</v>
      </c>
      <c r="F1183" s="8">
        <v>0.33</v>
      </c>
      <c r="G1183" s="4">
        <v>5</v>
      </c>
      <c r="H1183" s="8">
        <v>2.2799999999999998</v>
      </c>
      <c r="I1183" s="4">
        <v>0</v>
      </c>
    </row>
    <row r="1184" spans="1:9" x14ac:dyDescent="0.2">
      <c r="A1184" s="1"/>
      <c r="C1184" s="4"/>
      <c r="D1184" s="8"/>
      <c r="E1184" s="4"/>
      <c r="F1184" s="8"/>
      <c r="G1184" s="4"/>
      <c r="H1184" s="8"/>
      <c r="I1184" s="4"/>
    </row>
    <row r="1185" spans="1:9" x14ac:dyDescent="0.2">
      <c r="A1185" s="1" t="s">
        <v>52</v>
      </c>
      <c r="C1185" s="4"/>
      <c r="D1185" s="8"/>
      <c r="E1185" s="4"/>
      <c r="F1185" s="8"/>
      <c r="G1185" s="4"/>
      <c r="H1185" s="8"/>
      <c r="I1185" s="4"/>
    </row>
    <row r="1186" spans="1:9" x14ac:dyDescent="0.2">
      <c r="A1186" s="2">
        <v>1</v>
      </c>
      <c r="B1186" s="1" t="s">
        <v>97</v>
      </c>
      <c r="C1186" s="4">
        <v>52</v>
      </c>
      <c r="D1186" s="8">
        <v>15.12</v>
      </c>
      <c r="E1186" s="4">
        <v>45</v>
      </c>
      <c r="F1186" s="8">
        <v>21.23</v>
      </c>
      <c r="G1186" s="4">
        <v>7</v>
      </c>
      <c r="H1186" s="8">
        <v>5.38</v>
      </c>
      <c r="I1186" s="4">
        <v>0</v>
      </c>
    </row>
    <row r="1187" spans="1:9" x14ac:dyDescent="0.2">
      <c r="A1187" s="2">
        <v>2</v>
      </c>
      <c r="B1187" s="1" t="s">
        <v>98</v>
      </c>
      <c r="C1187" s="4">
        <v>44</v>
      </c>
      <c r="D1187" s="8">
        <v>12.79</v>
      </c>
      <c r="E1187" s="4">
        <v>43</v>
      </c>
      <c r="F1187" s="8">
        <v>20.28</v>
      </c>
      <c r="G1187" s="4">
        <v>1</v>
      </c>
      <c r="H1187" s="8">
        <v>0.77</v>
      </c>
      <c r="I1187" s="4">
        <v>0</v>
      </c>
    </row>
    <row r="1188" spans="1:9" x14ac:dyDescent="0.2">
      <c r="A1188" s="2">
        <v>3</v>
      </c>
      <c r="B1188" s="1" t="s">
        <v>92</v>
      </c>
      <c r="C1188" s="4">
        <v>37</v>
      </c>
      <c r="D1188" s="8">
        <v>10.76</v>
      </c>
      <c r="E1188" s="4">
        <v>20</v>
      </c>
      <c r="F1188" s="8">
        <v>9.43</v>
      </c>
      <c r="G1188" s="4">
        <v>17</v>
      </c>
      <c r="H1188" s="8">
        <v>13.08</v>
      </c>
      <c r="I1188" s="4">
        <v>0</v>
      </c>
    </row>
    <row r="1189" spans="1:9" x14ac:dyDescent="0.2">
      <c r="A1189" s="2">
        <v>4</v>
      </c>
      <c r="B1189" s="1" t="s">
        <v>90</v>
      </c>
      <c r="C1189" s="4">
        <v>21</v>
      </c>
      <c r="D1189" s="8">
        <v>6.1</v>
      </c>
      <c r="E1189" s="4">
        <v>13</v>
      </c>
      <c r="F1189" s="8">
        <v>6.13</v>
      </c>
      <c r="G1189" s="4">
        <v>8</v>
      </c>
      <c r="H1189" s="8">
        <v>6.15</v>
      </c>
      <c r="I1189" s="4">
        <v>0</v>
      </c>
    </row>
    <row r="1190" spans="1:9" x14ac:dyDescent="0.2">
      <c r="A1190" s="2">
        <v>5</v>
      </c>
      <c r="B1190" s="1" t="s">
        <v>84</v>
      </c>
      <c r="C1190" s="4">
        <v>17</v>
      </c>
      <c r="D1190" s="8">
        <v>4.9400000000000004</v>
      </c>
      <c r="E1190" s="4">
        <v>2</v>
      </c>
      <c r="F1190" s="8">
        <v>0.94</v>
      </c>
      <c r="G1190" s="4">
        <v>15</v>
      </c>
      <c r="H1190" s="8">
        <v>11.54</v>
      </c>
      <c r="I1190" s="4">
        <v>0</v>
      </c>
    </row>
    <row r="1191" spans="1:9" x14ac:dyDescent="0.2">
      <c r="A1191" s="2">
        <v>5</v>
      </c>
      <c r="B1191" s="1" t="s">
        <v>101</v>
      </c>
      <c r="C1191" s="4">
        <v>17</v>
      </c>
      <c r="D1191" s="8">
        <v>4.9400000000000004</v>
      </c>
      <c r="E1191" s="4">
        <v>11</v>
      </c>
      <c r="F1191" s="8">
        <v>5.19</v>
      </c>
      <c r="G1191" s="4">
        <v>6</v>
      </c>
      <c r="H1191" s="8">
        <v>4.62</v>
      </c>
      <c r="I1191" s="4">
        <v>0</v>
      </c>
    </row>
    <row r="1192" spans="1:9" x14ac:dyDescent="0.2">
      <c r="A1192" s="2">
        <v>7</v>
      </c>
      <c r="B1192" s="1" t="s">
        <v>85</v>
      </c>
      <c r="C1192" s="4">
        <v>15</v>
      </c>
      <c r="D1192" s="8">
        <v>4.3600000000000003</v>
      </c>
      <c r="E1192" s="4">
        <v>7</v>
      </c>
      <c r="F1192" s="8">
        <v>3.3</v>
      </c>
      <c r="G1192" s="4">
        <v>8</v>
      </c>
      <c r="H1192" s="8">
        <v>6.15</v>
      </c>
      <c r="I1192" s="4">
        <v>0</v>
      </c>
    </row>
    <row r="1193" spans="1:9" x14ac:dyDescent="0.2">
      <c r="A1193" s="2">
        <v>8</v>
      </c>
      <c r="B1193" s="1" t="s">
        <v>91</v>
      </c>
      <c r="C1193" s="4">
        <v>12</v>
      </c>
      <c r="D1193" s="8">
        <v>3.49</v>
      </c>
      <c r="E1193" s="4">
        <v>5</v>
      </c>
      <c r="F1193" s="8">
        <v>2.36</v>
      </c>
      <c r="G1193" s="4">
        <v>7</v>
      </c>
      <c r="H1193" s="8">
        <v>5.38</v>
      </c>
      <c r="I1193" s="4">
        <v>0</v>
      </c>
    </row>
    <row r="1194" spans="1:9" x14ac:dyDescent="0.2">
      <c r="A1194" s="2">
        <v>9</v>
      </c>
      <c r="B1194" s="1" t="s">
        <v>89</v>
      </c>
      <c r="C1194" s="4">
        <v>11</v>
      </c>
      <c r="D1194" s="8">
        <v>3.2</v>
      </c>
      <c r="E1194" s="4">
        <v>9</v>
      </c>
      <c r="F1194" s="8">
        <v>4.25</v>
      </c>
      <c r="G1194" s="4">
        <v>2</v>
      </c>
      <c r="H1194" s="8">
        <v>1.54</v>
      </c>
      <c r="I1194" s="4">
        <v>0</v>
      </c>
    </row>
    <row r="1195" spans="1:9" x14ac:dyDescent="0.2">
      <c r="A1195" s="2">
        <v>9</v>
      </c>
      <c r="B1195" s="1" t="s">
        <v>103</v>
      </c>
      <c r="C1195" s="4">
        <v>11</v>
      </c>
      <c r="D1195" s="8">
        <v>3.2</v>
      </c>
      <c r="E1195" s="4">
        <v>8</v>
      </c>
      <c r="F1195" s="8">
        <v>3.77</v>
      </c>
      <c r="G1195" s="4">
        <v>3</v>
      </c>
      <c r="H1195" s="8">
        <v>2.31</v>
      </c>
      <c r="I1195" s="4">
        <v>0</v>
      </c>
    </row>
    <row r="1196" spans="1:9" x14ac:dyDescent="0.2">
      <c r="A1196" s="2">
        <v>11</v>
      </c>
      <c r="B1196" s="1" t="s">
        <v>86</v>
      </c>
      <c r="C1196" s="4">
        <v>10</v>
      </c>
      <c r="D1196" s="8">
        <v>2.91</v>
      </c>
      <c r="E1196" s="4">
        <v>3</v>
      </c>
      <c r="F1196" s="8">
        <v>1.42</v>
      </c>
      <c r="G1196" s="4">
        <v>7</v>
      </c>
      <c r="H1196" s="8">
        <v>5.38</v>
      </c>
      <c r="I1196" s="4">
        <v>0</v>
      </c>
    </row>
    <row r="1197" spans="1:9" x14ac:dyDescent="0.2">
      <c r="A1197" s="2">
        <v>11</v>
      </c>
      <c r="B1197" s="1" t="s">
        <v>94</v>
      </c>
      <c r="C1197" s="4">
        <v>10</v>
      </c>
      <c r="D1197" s="8">
        <v>2.91</v>
      </c>
      <c r="E1197" s="4">
        <v>4</v>
      </c>
      <c r="F1197" s="8">
        <v>1.89</v>
      </c>
      <c r="G1197" s="4">
        <v>6</v>
      </c>
      <c r="H1197" s="8">
        <v>4.62</v>
      </c>
      <c r="I1197" s="4">
        <v>0</v>
      </c>
    </row>
    <row r="1198" spans="1:9" x14ac:dyDescent="0.2">
      <c r="A1198" s="2">
        <v>13</v>
      </c>
      <c r="B1198" s="1" t="s">
        <v>95</v>
      </c>
      <c r="C1198" s="4">
        <v>9</v>
      </c>
      <c r="D1198" s="8">
        <v>2.62</v>
      </c>
      <c r="E1198" s="4">
        <v>6</v>
      </c>
      <c r="F1198" s="8">
        <v>2.83</v>
      </c>
      <c r="G1198" s="4">
        <v>3</v>
      </c>
      <c r="H1198" s="8">
        <v>2.31</v>
      </c>
      <c r="I1198" s="4">
        <v>0</v>
      </c>
    </row>
    <row r="1199" spans="1:9" x14ac:dyDescent="0.2">
      <c r="A1199" s="2">
        <v>13</v>
      </c>
      <c r="B1199" s="1" t="s">
        <v>99</v>
      </c>
      <c r="C1199" s="4">
        <v>9</v>
      </c>
      <c r="D1199" s="8">
        <v>2.62</v>
      </c>
      <c r="E1199" s="4">
        <v>5</v>
      </c>
      <c r="F1199" s="8">
        <v>2.36</v>
      </c>
      <c r="G1199" s="4">
        <v>3</v>
      </c>
      <c r="H1199" s="8">
        <v>2.31</v>
      </c>
      <c r="I1199" s="4">
        <v>0</v>
      </c>
    </row>
    <row r="1200" spans="1:9" x14ac:dyDescent="0.2">
      <c r="A1200" s="2">
        <v>13</v>
      </c>
      <c r="B1200" s="1" t="s">
        <v>100</v>
      </c>
      <c r="C1200" s="4">
        <v>9</v>
      </c>
      <c r="D1200" s="8">
        <v>2.62</v>
      </c>
      <c r="E1200" s="4">
        <v>6</v>
      </c>
      <c r="F1200" s="8">
        <v>2.83</v>
      </c>
      <c r="G1200" s="4">
        <v>2</v>
      </c>
      <c r="H1200" s="8">
        <v>1.54</v>
      </c>
      <c r="I1200" s="4">
        <v>0</v>
      </c>
    </row>
    <row r="1201" spans="1:9" x14ac:dyDescent="0.2">
      <c r="A1201" s="2">
        <v>16</v>
      </c>
      <c r="B1201" s="1" t="s">
        <v>102</v>
      </c>
      <c r="C1201" s="4">
        <v>6</v>
      </c>
      <c r="D1201" s="8">
        <v>1.74</v>
      </c>
      <c r="E1201" s="4">
        <v>0</v>
      </c>
      <c r="F1201" s="8">
        <v>0</v>
      </c>
      <c r="G1201" s="4">
        <v>6</v>
      </c>
      <c r="H1201" s="8">
        <v>4.62</v>
      </c>
      <c r="I1201" s="4">
        <v>0</v>
      </c>
    </row>
    <row r="1202" spans="1:9" x14ac:dyDescent="0.2">
      <c r="A1202" s="2">
        <v>17</v>
      </c>
      <c r="B1202" s="1" t="s">
        <v>93</v>
      </c>
      <c r="C1202" s="4">
        <v>5</v>
      </c>
      <c r="D1202" s="8">
        <v>1.45</v>
      </c>
      <c r="E1202" s="4">
        <v>0</v>
      </c>
      <c r="F1202" s="8">
        <v>0</v>
      </c>
      <c r="G1202" s="4">
        <v>5</v>
      </c>
      <c r="H1202" s="8">
        <v>3.85</v>
      </c>
      <c r="I1202" s="4">
        <v>0</v>
      </c>
    </row>
    <row r="1203" spans="1:9" x14ac:dyDescent="0.2">
      <c r="A1203" s="2">
        <v>17</v>
      </c>
      <c r="B1203" s="1" t="s">
        <v>96</v>
      </c>
      <c r="C1203" s="4">
        <v>5</v>
      </c>
      <c r="D1203" s="8">
        <v>1.45</v>
      </c>
      <c r="E1203" s="4">
        <v>5</v>
      </c>
      <c r="F1203" s="8">
        <v>2.36</v>
      </c>
      <c r="G1203" s="4">
        <v>0</v>
      </c>
      <c r="H1203" s="8">
        <v>0</v>
      </c>
      <c r="I1203" s="4">
        <v>0</v>
      </c>
    </row>
    <row r="1204" spans="1:9" x14ac:dyDescent="0.2">
      <c r="A1204" s="2">
        <v>17</v>
      </c>
      <c r="B1204" s="1" t="s">
        <v>107</v>
      </c>
      <c r="C1204" s="4">
        <v>5</v>
      </c>
      <c r="D1204" s="8">
        <v>1.45</v>
      </c>
      <c r="E1204" s="4">
        <v>5</v>
      </c>
      <c r="F1204" s="8">
        <v>2.36</v>
      </c>
      <c r="G1204" s="4">
        <v>0</v>
      </c>
      <c r="H1204" s="8">
        <v>0</v>
      </c>
      <c r="I1204" s="4">
        <v>0</v>
      </c>
    </row>
    <row r="1205" spans="1:9" x14ac:dyDescent="0.2">
      <c r="A1205" s="2">
        <v>20</v>
      </c>
      <c r="B1205" s="1" t="s">
        <v>104</v>
      </c>
      <c r="C1205" s="4">
        <v>4</v>
      </c>
      <c r="D1205" s="8">
        <v>1.1599999999999999</v>
      </c>
      <c r="E1205" s="4">
        <v>1</v>
      </c>
      <c r="F1205" s="8">
        <v>0.47</v>
      </c>
      <c r="G1205" s="4">
        <v>3</v>
      </c>
      <c r="H1205" s="8">
        <v>2.31</v>
      </c>
      <c r="I1205" s="4">
        <v>0</v>
      </c>
    </row>
    <row r="1206" spans="1:9" x14ac:dyDescent="0.2">
      <c r="A1206" s="2">
        <v>20</v>
      </c>
      <c r="B1206" s="1" t="s">
        <v>112</v>
      </c>
      <c r="C1206" s="4">
        <v>4</v>
      </c>
      <c r="D1206" s="8">
        <v>1.1599999999999999</v>
      </c>
      <c r="E1206" s="4">
        <v>4</v>
      </c>
      <c r="F1206" s="8">
        <v>1.89</v>
      </c>
      <c r="G1206" s="4">
        <v>0</v>
      </c>
      <c r="H1206" s="8">
        <v>0</v>
      </c>
      <c r="I1206" s="4">
        <v>0</v>
      </c>
    </row>
    <row r="1207" spans="1:9" x14ac:dyDescent="0.2">
      <c r="A1207" s="1"/>
      <c r="C1207" s="4"/>
      <c r="D1207" s="8"/>
      <c r="E1207" s="4"/>
      <c r="F1207" s="8"/>
      <c r="G1207" s="4"/>
      <c r="H1207" s="8"/>
      <c r="I1207" s="4"/>
    </row>
    <row r="1208" spans="1:9" x14ac:dyDescent="0.2">
      <c r="A1208" s="1" t="s">
        <v>53</v>
      </c>
      <c r="C1208" s="4"/>
      <c r="D1208" s="8"/>
      <c r="E1208" s="4"/>
      <c r="F1208" s="8"/>
      <c r="G1208" s="4"/>
      <c r="H1208" s="8"/>
      <c r="I1208" s="4"/>
    </row>
    <row r="1209" spans="1:9" x14ac:dyDescent="0.2">
      <c r="A1209" s="2">
        <v>1</v>
      </c>
      <c r="B1209" s="1" t="s">
        <v>98</v>
      </c>
      <c r="C1209" s="4">
        <v>17</v>
      </c>
      <c r="D1209" s="8">
        <v>12.88</v>
      </c>
      <c r="E1209" s="4">
        <v>16</v>
      </c>
      <c r="F1209" s="8">
        <v>20.51</v>
      </c>
      <c r="G1209" s="4">
        <v>1</v>
      </c>
      <c r="H1209" s="8">
        <v>1.96</v>
      </c>
      <c r="I1209" s="4">
        <v>0</v>
      </c>
    </row>
    <row r="1210" spans="1:9" x14ac:dyDescent="0.2">
      <c r="A1210" s="2">
        <v>2</v>
      </c>
      <c r="B1210" s="1" t="s">
        <v>84</v>
      </c>
      <c r="C1210" s="4">
        <v>16</v>
      </c>
      <c r="D1210" s="8">
        <v>12.12</v>
      </c>
      <c r="E1210" s="4">
        <v>5</v>
      </c>
      <c r="F1210" s="8">
        <v>6.41</v>
      </c>
      <c r="G1210" s="4">
        <v>11</v>
      </c>
      <c r="H1210" s="8">
        <v>21.57</v>
      </c>
      <c r="I1210" s="4">
        <v>0</v>
      </c>
    </row>
    <row r="1211" spans="1:9" x14ac:dyDescent="0.2">
      <c r="A1211" s="2">
        <v>3</v>
      </c>
      <c r="B1211" s="1" t="s">
        <v>90</v>
      </c>
      <c r="C1211" s="4">
        <v>13</v>
      </c>
      <c r="D1211" s="8">
        <v>9.85</v>
      </c>
      <c r="E1211" s="4">
        <v>10</v>
      </c>
      <c r="F1211" s="8">
        <v>12.82</v>
      </c>
      <c r="G1211" s="4">
        <v>3</v>
      </c>
      <c r="H1211" s="8">
        <v>5.88</v>
      </c>
      <c r="I1211" s="4">
        <v>0</v>
      </c>
    </row>
    <row r="1212" spans="1:9" x14ac:dyDescent="0.2">
      <c r="A1212" s="2">
        <v>4</v>
      </c>
      <c r="B1212" s="1" t="s">
        <v>85</v>
      </c>
      <c r="C1212" s="4">
        <v>11</v>
      </c>
      <c r="D1212" s="8">
        <v>8.33</v>
      </c>
      <c r="E1212" s="4">
        <v>7</v>
      </c>
      <c r="F1212" s="8">
        <v>8.9700000000000006</v>
      </c>
      <c r="G1212" s="4">
        <v>4</v>
      </c>
      <c r="H1212" s="8">
        <v>7.84</v>
      </c>
      <c r="I1212" s="4">
        <v>0</v>
      </c>
    </row>
    <row r="1213" spans="1:9" x14ac:dyDescent="0.2">
      <c r="A1213" s="2">
        <v>4</v>
      </c>
      <c r="B1213" s="1" t="s">
        <v>86</v>
      </c>
      <c r="C1213" s="4">
        <v>11</v>
      </c>
      <c r="D1213" s="8">
        <v>8.33</v>
      </c>
      <c r="E1213" s="4">
        <v>5</v>
      </c>
      <c r="F1213" s="8">
        <v>6.41</v>
      </c>
      <c r="G1213" s="4">
        <v>6</v>
      </c>
      <c r="H1213" s="8">
        <v>11.76</v>
      </c>
      <c r="I1213" s="4">
        <v>0</v>
      </c>
    </row>
    <row r="1214" spans="1:9" x14ac:dyDescent="0.2">
      <c r="A1214" s="2">
        <v>4</v>
      </c>
      <c r="B1214" s="1" t="s">
        <v>97</v>
      </c>
      <c r="C1214" s="4">
        <v>11</v>
      </c>
      <c r="D1214" s="8">
        <v>8.33</v>
      </c>
      <c r="E1214" s="4">
        <v>11</v>
      </c>
      <c r="F1214" s="8">
        <v>14.1</v>
      </c>
      <c r="G1214" s="4">
        <v>0</v>
      </c>
      <c r="H1214" s="8">
        <v>0</v>
      </c>
      <c r="I1214" s="4">
        <v>0</v>
      </c>
    </row>
    <row r="1215" spans="1:9" x14ac:dyDescent="0.2">
      <c r="A1215" s="2">
        <v>7</v>
      </c>
      <c r="B1215" s="1" t="s">
        <v>92</v>
      </c>
      <c r="C1215" s="4">
        <v>7</v>
      </c>
      <c r="D1215" s="8">
        <v>5.3</v>
      </c>
      <c r="E1215" s="4">
        <v>6</v>
      </c>
      <c r="F1215" s="8">
        <v>7.69</v>
      </c>
      <c r="G1215" s="4">
        <v>1</v>
      </c>
      <c r="H1215" s="8">
        <v>1.96</v>
      </c>
      <c r="I1215" s="4">
        <v>0</v>
      </c>
    </row>
    <row r="1216" spans="1:9" x14ac:dyDescent="0.2">
      <c r="A1216" s="2">
        <v>8</v>
      </c>
      <c r="B1216" s="1" t="s">
        <v>100</v>
      </c>
      <c r="C1216" s="4">
        <v>5</v>
      </c>
      <c r="D1216" s="8">
        <v>3.79</v>
      </c>
      <c r="E1216" s="4">
        <v>2</v>
      </c>
      <c r="F1216" s="8">
        <v>2.56</v>
      </c>
      <c r="G1216" s="4">
        <v>2</v>
      </c>
      <c r="H1216" s="8">
        <v>3.92</v>
      </c>
      <c r="I1216" s="4">
        <v>0</v>
      </c>
    </row>
    <row r="1217" spans="1:9" x14ac:dyDescent="0.2">
      <c r="A1217" s="2">
        <v>8</v>
      </c>
      <c r="B1217" s="1" t="s">
        <v>103</v>
      </c>
      <c r="C1217" s="4">
        <v>5</v>
      </c>
      <c r="D1217" s="8">
        <v>3.79</v>
      </c>
      <c r="E1217" s="4">
        <v>5</v>
      </c>
      <c r="F1217" s="8">
        <v>6.41</v>
      </c>
      <c r="G1217" s="4">
        <v>0</v>
      </c>
      <c r="H1217" s="8">
        <v>0</v>
      </c>
      <c r="I1217" s="4">
        <v>0</v>
      </c>
    </row>
    <row r="1218" spans="1:9" x14ac:dyDescent="0.2">
      <c r="A1218" s="2">
        <v>10</v>
      </c>
      <c r="B1218" s="1" t="s">
        <v>109</v>
      </c>
      <c r="C1218" s="4">
        <v>3</v>
      </c>
      <c r="D1218" s="8">
        <v>2.27</v>
      </c>
      <c r="E1218" s="4">
        <v>0</v>
      </c>
      <c r="F1218" s="8">
        <v>0</v>
      </c>
      <c r="G1218" s="4">
        <v>3</v>
      </c>
      <c r="H1218" s="8">
        <v>5.88</v>
      </c>
      <c r="I1218" s="4">
        <v>0</v>
      </c>
    </row>
    <row r="1219" spans="1:9" x14ac:dyDescent="0.2">
      <c r="A1219" s="2">
        <v>11</v>
      </c>
      <c r="B1219" s="1" t="s">
        <v>126</v>
      </c>
      <c r="C1219" s="4">
        <v>2</v>
      </c>
      <c r="D1219" s="8">
        <v>1.52</v>
      </c>
      <c r="E1219" s="4">
        <v>0</v>
      </c>
      <c r="F1219" s="8">
        <v>0</v>
      </c>
      <c r="G1219" s="4">
        <v>2</v>
      </c>
      <c r="H1219" s="8">
        <v>3.92</v>
      </c>
      <c r="I1219" s="4">
        <v>0</v>
      </c>
    </row>
    <row r="1220" spans="1:9" x14ac:dyDescent="0.2">
      <c r="A1220" s="2">
        <v>11</v>
      </c>
      <c r="B1220" s="1" t="s">
        <v>106</v>
      </c>
      <c r="C1220" s="4">
        <v>2</v>
      </c>
      <c r="D1220" s="8">
        <v>1.52</v>
      </c>
      <c r="E1220" s="4">
        <v>0</v>
      </c>
      <c r="F1220" s="8">
        <v>0</v>
      </c>
      <c r="G1220" s="4">
        <v>2</v>
      </c>
      <c r="H1220" s="8">
        <v>3.92</v>
      </c>
      <c r="I1220" s="4">
        <v>0</v>
      </c>
    </row>
    <row r="1221" spans="1:9" x14ac:dyDescent="0.2">
      <c r="A1221" s="2">
        <v>11</v>
      </c>
      <c r="B1221" s="1" t="s">
        <v>117</v>
      </c>
      <c r="C1221" s="4">
        <v>2</v>
      </c>
      <c r="D1221" s="8">
        <v>1.52</v>
      </c>
      <c r="E1221" s="4">
        <v>1</v>
      </c>
      <c r="F1221" s="8">
        <v>1.28</v>
      </c>
      <c r="G1221" s="4">
        <v>1</v>
      </c>
      <c r="H1221" s="8">
        <v>1.96</v>
      </c>
      <c r="I1221" s="4">
        <v>0</v>
      </c>
    </row>
    <row r="1222" spans="1:9" x14ac:dyDescent="0.2">
      <c r="A1222" s="2">
        <v>11</v>
      </c>
      <c r="B1222" s="1" t="s">
        <v>87</v>
      </c>
      <c r="C1222" s="4">
        <v>2</v>
      </c>
      <c r="D1222" s="8">
        <v>1.52</v>
      </c>
      <c r="E1222" s="4">
        <v>1</v>
      </c>
      <c r="F1222" s="8">
        <v>1.28</v>
      </c>
      <c r="G1222" s="4">
        <v>1</v>
      </c>
      <c r="H1222" s="8">
        <v>1.96</v>
      </c>
      <c r="I1222" s="4">
        <v>0</v>
      </c>
    </row>
    <row r="1223" spans="1:9" x14ac:dyDescent="0.2">
      <c r="A1223" s="2">
        <v>11</v>
      </c>
      <c r="B1223" s="1" t="s">
        <v>91</v>
      </c>
      <c r="C1223" s="4">
        <v>2</v>
      </c>
      <c r="D1223" s="8">
        <v>1.52</v>
      </c>
      <c r="E1223" s="4">
        <v>2</v>
      </c>
      <c r="F1223" s="8">
        <v>2.56</v>
      </c>
      <c r="G1223" s="4">
        <v>0</v>
      </c>
      <c r="H1223" s="8">
        <v>0</v>
      </c>
      <c r="I1223" s="4">
        <v>0</v>
      </c>
    </row>
    <row r="1224" spans="1:9" x14ac:dyDescent="0.2">
      <c r="A1224" s="2">
        <v>11</v>
      </c>
      <c r="B1224" s="1" t="s">
        <v>94</v>
      </c>
      <c r="C1224" s="4">
        <v>2</v>
      </c>
      <c r="D1224" s="8">
        <v>1.52</v>
      </c>
      <c r="E1224" s="4">
        <v>0</v>
      </c>
      <c r="F1224" s="8">
        <v>0</v>
      </c>
      <c r="G1224" s="4">
        <v>2</v>
      </c>
      <c r="H1224" s="8">
        <v>3.92</v>
      </c>
      <c r="I1224" s="4">
        <v>0</v>
      </c>
    </row>
    <row r="1225" spans="1:9" x14ac:dyDescent="0.2">
      <c r="A1225" s="2">
        <v>11</v>
      </c>
      <c r="B1225" s="1" t="s">
        <v>96</v>
      </c>
      <c r="C1225" s="4">
        <v>2</v>
      </c>
      <c r="D1225" s="8">
        <v>1.52</v>
      </c>
      <c r="E1225" s="4">
        <v>0</v>
      </c>
      <c r="F1225" s="8">
        <v>0</v>
      </c>
      <c r="G1225" s="4">
        <v>2</v>
      </c>
      <c r="H1225" s="8">
        <v>3.92</v>
      </c>
      <c r="I1225" s="4">
        <v>0</v>
      </c>
    </row>
    <row r="1226" spans="1:9" x14ac:dyDescent="0.2">
      <c r="A1226" s="2">
        <v>11</v>
      </c>
      <c r="B1226" s="1" t="s">
        <v>99</v>
      </c>
      <c r="C1226" s="4">
        <v>2</v>
      </c>
      <c r="D1226" s="8">
        <v>1.52</v>
      </c>
      <c r="E1226" s="4">
        <v>0</v>
      </c>
      <c r="F1226" s="8">
        <v>0</v>
      </c>
      <c r="G1226" s="4">
        <v>2</v>
      </c>
      <c r="H1226" s="8">
        <v>3.92</v>
      </c>
      <c r="I1226" s="4">
        <v>0</v>
      </c>
    </row>
    <row r="1227" spans="1:9" x14ac:dyDescent="0.2">
      <c r="A1227" s="2">
        <v>19</v>
      </c>
      <c r="B1227" s="1" t="s">
        <v>110</v>
      </c>
      <c r="C1227" s="4">
        <v>1</v>
      </c>
      <c r="D1227" s="8">
        <v>0.76</v>
      </c>
      <c r="E1227" s="4">
        <v>1</v>
      </c>
      <c r="F1227" s="8">
        <v>1.28</v>
      </c>
      <c r="G1227" s="4">
        <v>0</v>
      </c>
      <c r="H1227" s="8">
        <v>0</v>
      </c>
      <c r="I1227" s="4">
        <v>0</v>
      </c>
    </row>
    <row r="1228" spans="1:9" x14ac:dyDescent="0.2">
      <c r="A1228" s="2">
        <v>19</v>
      </c>
      <c r="B1228" s="1" t="s">
        <v>135</v>
      </c>
      <c r="C1228" s="4">
        <v>1</v>
      </c>
      <c r="D1228" s="8">
        <v>0.76</v>
      </c>
      <c r="E1228" s="4">
        <v>1</v>
      </c>
      <c r="F1228" s="8">
        <v>1.28</v>
      </c>
      <c r="G1228" s="4">
        <v>0</v>
      </c>
      <c r="H1228" s="8">
        <v>0</v>
      </c>
      <c r="I1228" s="4">
        <v>0</v>
      </c>
    </row>
    <row r="1229" spans="1:9" x14ac:dyDescent="0.2">
      <c r="A1229" s="2">
        <v>19</v>
      </c>
      <c r="B1229" s="1" t="s">
        <v>124</v>
      </c>
      <c r="C1229" s="4">
        <v>1</v>
      </c>
      <c r="D1229" s="8">
        <v>0.76</v>
      </c>
      <c r="E1229" s="4">
        <v>0</v>
      </c>
      <c r="F1229" s="8">
        <v>0</v>
      </c>
      <c r="G1229" s="4">
        <v>1</v>
      </c>
      <c r="H1229" s="8">
        <v>1.96</v>
      </c>
      <c r="I1229" s="4">
        <v>0</v>
      </c>
    </row>
    <row r="1230" spans="1:9" x14ac:dyDescent="0.2">
      <c r="A1230" s="2">
        <v>19</v>
      </c>
      <c r="B1230" s="1" t="s">
        <v>136</v>
      </c>
      <c r="C1230" s="4">
        <v>1</v>
      </c>
      <c r="D1230" s="8">
        <v>0.76</v>
      </c>
      <c r="E1230" s="4">
        <v>1</v>
      </c>
      <c r="F1230" s="8">
        <v>1.28</v>
      </c>
      <c r="G1230" s="4">
        <v>0</v>
      </c>
      <c r="H1230" s="8">
        <v>0</v>
      </c>
      <c r="I1230" s="4">
        <v>0</v>
      </c>
    </row>
    <row r="1231" spans="1:9" x14ac:dyDescent="0.2">
      <c r="A1231" s="2">
        <v>19</v>
      </c>
      <c r="B1231" s="1" t="s">
        <v>137</v>
      </c>
      <c r="C1231" s="4">
        <v>1</v>
      </c>
      <c r="D1231" s="8">
        <v>0.76</v>
      </c>
      <c r="E1231" s="4">
        <v>1</v>
      </c>
      <c r="F1231" s="8">
        <v>1.28</v>
      </c>
      <c r="G1231" s="4">
        <v>0</v>
      </c>
      <c r="H1231" s="8">
        <v>0</v>
      </c>
      <c r="I1231" s="4">
        <v>0</v>
      </c>
    </row>
    <row r="1232" spans="1:9" x14ac:dyDescent="0.2">
      <c r="A1232" s="2">
        <v>19</v>
      </c>
      <c r="B1232" s="1" t="s">
        <v>119</v>
      </c>
      <c r="C1232" s="4">
        <v>1</v>
      </c>
      <c r="D1232" s="8">
        <v>0.76</v>
      </c>
      <c r="E1232" s="4">
        <v>1</v>
      </c>
      <c r="F1232" s="8">
        <v>1.28</v>
      </c>
      <c r="G1232" s="4">
        <v>0</v>
      </c>
      <c r="H1232" s="8">
        <v>0</v>
      </c>
      <c r="I1232" s="4">
        <v>0</v>
      </c>
    </row>
    <row r="1233" spans="1:9" x14ac:dyDescent="0.2">
      <c r="A1233" s="2">
        <v>19</v>
      </c>
      <c r="B1233" s="1" t="s">
        <v>138</v>
      </c>
      <c r="C1233" s="4">
        <v>1</v>
      </c>
      <c r="D1233" s="8">
        <v>0.76</v>
      </c>
      <c r="E1233" s="4">
        <v>0</v>
      </c>
      <c r="F1233" s="8">
        <v>0</v>
      </c>
      <c r="G1233" s="4">
        <v>0</v>
      </c>
      <c r="H1233" s="8">
        <v>0</v>
      </c>
      <c r="I1233" s="4">
        <v>0</v>
      </c>
    </row>
    <row r="1234" spans="1:9" x14ac:dyDescent="0.2">
      <c r="A1234" s="2">
        <v>19</v>
      </c>
      <c r="B1234" s="1" t="s">
        <v>114</v>
      </c>
      <c r="C1234" s="4">
        <v>1</v>
      </c>
      <c r="D1234" s="8">
        <v>0.76</v>
      </c>
      <c r="E1234" s="4">
        <v>0</v>
      </c>
      <c r="F1234" s="8">
        <v>0</v>
      </c>
      <c r="G1234" s="4">
        <v>1</v>
      </c>
      <c r="H1234" s="8">
        <v>1.96</v>
      </c>
      <c r="I1234" s="4">
        <v>0</v>
      </c>
    </row>
    <row r="1235" spans="1:9" x14ac:dyDescent="0.2">
      <c r="A1235" s="2">
        <v>19</v>
      </c>
      <c r="B1235" s="1" t="s">
        <v>115</v>
      </c>
      <c r="C1235" s="4">
        <v>1</v>
      </c>
      <c r="D1235" s="8">
        <v>0.76</v>
      </c>
      <c r="E1235" s="4">
        <v>0</v>
      </c>
      <c r="F1235" s="8">
        <v>0</v>
      </c>
      <c r="G1235" s="4">
        <v>0</v>
      </c>
      <c r="H1235" s="8">
        <v>0</v>
      </c>
      <c r="I1235" s="4">
        <v>1</v>
      </c>
    </row>
    <row r="1236" spans="1:9" x14ac:dyDescent="0.2">
      <c r="A1236" s="2">
        <v>19</v>
      </c>
      <c r="B1236" s="1" t="s">
        <v>88</v>
      </c>
      <c r="C1236" s="4">
        <v>1</v>
      </c>
      <c r="D1236" s="8">
        <v>0.76</v>
      </c>
      <c r="E1236" s="4">
        <v>0</v>
      </c>
      <c r="F1236" s="8">
        <v>0</v>
      </c>
      <c r="G1236" s="4">
        <v>1</v>
      </c>
      <c r="H1236" s="8">
        <v>1.96</v>
      </c>
      <c r="I1236" s="4">
        <v>0</v>
      </c>
    </row>
    <row r="1237" spans="1:9" x14ac:dyDescent="0.2">
      <c r="A1237" s="2">
        <v>19</v>
      </c>
      <c r="B1237" s="1" t="s">
        <v>89</v>
      </c>
      <c r="C1237" s="4">
        <v>1</v>
      </c>
      <c r="D1237" s="8">
        <v>0.76</v>
      </c>
      <c r="E1237" s="4">
        <v>1</v>
      </c>
      <c r="F1237" s="8">
        <v>1.28</v>
      </c>
      <c r="G1237" s="4">
        <v>0</v>
      </c>
      <c r="H1237" s="8">
        <v>0</v>
      </c>
      <c r="I1237" s="4">
        <v>0</v>
      </c>
    </row>
    <row r="1238" spans="1:9" x14ac:dyDescent="0.2">
      <c r="A1238" s="2">
        <v>19</v>
      </c>
      <c r="B1238" s="1" t="s">
        <v>120</v>
      </c>
      <c r="C1238" s="4">
        <v>1</v>
      </c>
      <c r="D1238" s="8">
        <v>0.76</v>
      </c>
      <c r="E1238" s="4">
        <v>0</v>
      </c>
      <c r="F1238" s="8">
        <v>0</v>
      </c>
      <c r="G1238" s="4">
        <v>1</v>
      </c>
      <c r="H1238" s="8">
        <v>1.96</v>
      </c>
      <c r="I1238" s="4">
        <v>0</v>
      </c>
    </row>
    <row r="1239" spans="1:9" x14ac:dyDescent="0.2">
      <c r="A1239" s="2">
        <v>19</v>
      </c>
      <c r="B1239" s="1" t="s">
        <v>113</v>
      </c>
      <c r="C1239" s="4">
        <v>1</v>
      </c>
      <c r="D1239" s="8">
        <v>0.76</v>
      </c>
      <c r="E1239" s="4">
        <v>0</v>
      </c>
      <c r="F1239" s="8">
        <v>0</v>
      </c>
      <c r="G1239" s="4">
        <v>1</v>
      </c>
      <c r="H1239" s="8">
        <v>1.96</v>
      </c>
      <c r="I1239" s="4">
        <v>0</v>
      </c>
    </row>
    <row r="1240" spans="1:9" x14ac:dyDescent="0.2">
      <c r="A1240" s="2">
        <v>19</v>
      </c>
      <c r="B1240" s="1" t="s">
        <v>139</v>
      </c>
      <c r="C1240" s="4">
        <v>1</v>
      </c>
      <c r="D1240" s="8">
        <v>0.76</v>
      </c>
      <c r="E1240" s="4">
        <v>0</v>
      </c>
      <c r="F1240" s="8">
        <v>0</v>
      </c>
      <c r="G1240" s="4">
        <v>1</v>
      </c>
      <c r="H1240" s="8">
        <v>1.96</v>
      </c>
      <c r="I1240" s="4">
        <v>0</v>
      </c>
    </row>
    <row r="1241" spans="1:9" x14ac:dyDescent="0.2">
      <c r="A1241" s="2">
        <v>19</v>
      </c>
      <c r="B1241" s="1" t="s">
        <v>112</v>
      </c>
      <c r="C1241" s="4">
        <v>1</v>
      </c>
      <c r="D1241" s="8">
        <v>0.76</v>
      </c>
      <c r="E1241" s="4">
        <v>1</v>
      </c>
      <c r="F1241" s="8">
        <v>1.28</v>
      </c>
      <c r="G1241" s="4">
        <v>0</v>
      </c>
      <c r="H1241" s="8">
        <v>0</v>
      </c>
      <c r="I1241" s="4">
        <v>0</v>
      </c>
    </row>
    <row r="1242" spans="1:9" x14ac:dyDescent="0.2">
      <c r="A1242" s="2">
        <v>19</v>
      </c>
      <c r="B1242" s="1" t="s">
        <v>102</v>
      </c>
      <c r="C1242" s="4">
        <v>1</v>
      </c>
      <c r="D1242" s="8">
        <v>0.76</v>
      </c>
      <c r="E1242" s="4">
        <v>0</v>
      </c>
      <c r="F1242" s="8">
        <v>0</v>
      </c>
      <c r="G1242" s="4">
        <v>1</v>
      </c>
      <c r="H1242" s="8">
        <v>1.96</v>
      </c>
      <c r="I1242" s="4">
        <v>0</v>
      </c>
    </row>
    <row r="1243" spans="1:9" x14ac:dyDescent="0.2">
      <c r="A1243" s="2">
        <v>19</v>
      </c>
      <c r="B1243" s="1" t="s">
        <v>130</v>
      </c>
      <c r="C1243" s="4">
        <v>1</v>
      </c>
      <c r="D1243" s="8">
        <v>0.76</v>
      </c>
      <c r="E1243" s="4">
        <v>0</v>
      </c>
      <c r="F1243" s="8">
        <v>0</v>
      </c>
      <c r="G1243" s="4">
        <v>1</v>
      </c>
      <c r="H1243" s="8">
        <v>1.96</v>
      </c>
      <c r="I1243" s="4">
        <v>0</v>
      </c>
    </row>
    <row r="1244" spans="1:9" x14ac:dyDescent="0.2">
      <c r="A1244" s="1"/>
      <c r="C1244" s="4"/>
      <c r="D1244" s="8"/>
      <c r="E1244" s="4"/>
      <c r="F1244" s="8"/>
      <c r="G1244" s="4"/>
      <c r="H1244" s="8"/>
      <c r="I1244" s="4"/>
    </row>
    <row r="1245" spans="1:9" x14ac:dyDescent="0.2">
      <c r="A1245" s="1" t="s">
        <v>54</v>
      </c>
      <c r="C1245" s="4"/>
      <c r="D1245" s="8"/>
      <c r="E1245" s="4"/>
      <c r="F1245" s="8"/>
      <c r="G1245" s="4"/>
      <c r="H1245" s="8"/>
      <c r="I1245" s="4"/>
    </row>
    <row r="1246" spans="1:9" x14ac:dyDescent="0.2">
      <c r="A1246" s="2">
        <v>1</v>
      </c>
      <c r="B1246" s="1" t="s">
        <v>84</v>
      </c>
      <c r="C1246" s="4">
        <v>28</v>
      </c>
      <c r="D1246" s="8">
        <v>11.97</v>
      </c>
      <c r="E1246" s="4">
        <v>8</v>
      </c>
      <c r="F1246" s="8">
        <v>6.11</v>
      </c>
      <c r="G1246" s="4">
        <v>20</v>
      </c>
      <c r="H1246" s="8">
        <v>19.61</v>
      </c>
      <c r="I1246" s="4">
        <v>0</v>
      </c>
    </row>
    <row r="1247" spans="1:9" x14ac:dyDescent="0.2">
      <c r="A1247" s="2">
        <v>2</v>
      </c>
      <c r="B1247" s="1" t="s">
        <v>97</v>
      </c>
      <c r="C1247" s="4">
        <v>25</v>
      </c>
      <c r="D1247" s="8">
        <v>10.68</v>
      </c>
      <c r="E1247" s="4">
        <v>24</v>
      </c>
      <c r="F1247" s="8">
        <v>18.32</v>
      </c>
      <c r="G1247" s="4">
        <v>1</v>
      </c>
      <c r="H1247" s="8">
        <v>0.98</v>
      </c>
      <c r="I1247" s="4">
        <v>0</v>
      </c>
    </row>
    <row r="1248" spans="1:9" x14ac:dyDescent="0.2">
      <c r="A1248" s="2">
        <v>2</v>
      </c>
      <c r="B1248" s="1" t="s">
        <v>98</v>
      </c>
      <c r="C1248" s="4">
        <v>25</v>
      </c>
      <c r="D1248" s="8">
        <v>10.68</v>
      </c>
      <c r="E1248" s="4">
        <v>22</v>
      </c>
      <c r="F1248" s="8">
        <v>16.79</v>
      </c>
      <c r="G1248" s="4">
        <v>3</v>
      </c>
      <c r="H1248" s="8">
        <v>2.94</v>
      </c>
      <c r="I1248" s="4">
        <v>0</v>
      </c>
    </row>
    <row r="1249" spans="1:9" x14ac:dyDescent="0.2">
      <c r="A1249" s="2">
        <v>4</v>
      </c>
      <c r="B1249" s="1" t="s">
        <v>85</v>
      </c>
      <c r="C1249" s="4">
        <v>18</v>
      </c>
      <c r="D1249" s="8">
        <v>7.69</v>
      </c>
      <c r="E1249" s="4">
        <v>10</v>
      </c>
      <c r="F1249" s="8">
        <v>7.63</v>
      </c>
      <c r="G1249" s="4">
        <v>8</v>
      </c>
      <c r="H1249" s="8">
        <v>7.84</v>
      </c>
      <c r="I1249" s="4">
        <v>0</v>
      </c>
    </row>
    <row r="1250" spans="1:9" x14ac:dyDescent="0.2">
      <c r="A1250" s="2">
        <v>5</v>
      </c>
      <c r="B1250" s="1" t="s">
        <v>103</v>
      </c>
      <c r="C1250" s="4">
        <v>17</v>
      </c>
      <c r="D1250" s="8">
        <v>7.26</v>
      </c>
      <c r="E1250" s="4">
        <v>15</v>
      </c>
      <c r="F1250" s="8">
        <v>11.45</v>
      </c>
      <c r="G1250" s="4">
        <v>2</v>
      </c>
      <c r="H1250" s="8">
        <v>1.96</v>
      </c>
      <c r="I1250" s="4">
        <v>0</v>
      </c>
    </row>
    <row r="1251" spans="1:9" x14ac:dyDescent="0.2">
      <c r="A1251" s="2">
        <v>6</v>
      </c>
      <c r="B1251" s="1" t="s">
        <v>86</v>
      </c>
      <c r="C1251" s="4">
        <v>14</v>
      </c>
      <c r="D1251" s="8">
        <v>5.98</v>
      </c>
      <c r="E1251" s="4">
        <v>3</v>
      </c>
      <c r="F1251" s="8">
        <v>2.29</v>
      </c>
      <c r="G1251" s="4">
        <v>11</v>
      </c>
      <c r="H1251" s="8">
        <v>10.78</v>
      </c>
      <c r="I1251" s="4">
        <v>0</v>
      </c>
    </row>
    <row r="1252" spans="1:9" x14ac:dyDescent="0.2">
      <c r="A1252" s="2">
        <v>7</v>
      </c>
      <c r="B1252" s="1" t="s">
        <v>92</v>
      </c>
      <c r="C1252" s="4">
        <v>11</v>
      </c>
      <c r="D1252" s="8">
        <v>4.7</v>
      </c>
      <c r="E1252" s="4">
        <v>6</v>
      </c>
      <c r="F1252" s="8">
        <v>4.58</v>
      </c>
      <c r="G1252" s="4">
        <v>5</v>
      </c>
      <c r="H1252" s="8">
        <v>4.9000000000000004</v>
      </c>
      <c r="I1252" s="4">
        <v>0</v>
      </c>
    </row>
    <row r="1253" spans="1:9" x14ac:dyDescent="0.2">
      <c r="A1253" s="2">
        <v>8</v>
      </c>
      <c r="B1253" s="1" t="s">
        <v>90</v>
      </c>
      <c r="C1253" s="4">
        <v>9</v>
      </c>
      <c r="D1253" s="8">
        <v>3.85</v>
      </c>
      <c r="E1253" s="4">
        <v>6</v>
      </c>
      <c r="F1253" s="8">
        <v>4.58</v>
      </c>
      <c r="G1253" s="4">
        <v>2</v>
      </c>
      <c r="H1253" s="8">
        <v>1.96</v>
      </c>
      <c r="I1253" s="4">
        <v>1</v>
      </c>
    </row>
    <row r="1254" spans="1:9" x14ac:dyDescent="0.2">
      <c r="A1254" s="2">
        <v>8</v>
      </c>
      <c r="B1254" s="1" t="s">
        <v>100</v>
      </c>
      <c r="C1254" s="4">
        <v>9</v>
      </c>
      <c r="D1254" s="8">
        <v>3.85</v>
      </c>
      <c r="E1254" s="4">
        <v>7</v>
      </c>
      <c r="F1254" s="8">
        <v>5.34</v>
      </c>
      <c r="G1254" s="4">
        <v>2</v>
      </c>
      <c r="H1254" s="8">
        <v>1.96</v>
      </c>
      <c r="I1254" s="4">
        <v>0</v>
      </c>
    </row>
    <row r="1255" spans="1:9" x14ac:dyDescent="0.2">
      <c r="A1255" s="2">
        <v>10</v>
      </c>
      <c r="B1255" s="1" t="s">
        <v>91</v>
      </c>
      <c r="C1255" s="4">
        <v>8</v>
      </c>
      <c r="D1255" s="8">
        <v>3.42</v>
      </c>
      <c r="E1255" s="4">
        <v>5</v>
      </c>
      <c r="F1255" s="8">
        <v>3.82</v>
      </c>
      <c r="G1255" s="4">
        <v>3</v>
      </c>
      <c r="H1255" s="8">
        <v>2.94</v>
      </c>
      <c r="I1255" s="4">
        <v>0</v>
      </c>
    </row>
    <row r="1256" spans="1:9" x14ac:dyDescent="0.2">
      <c r="A1256" s="2">
        <v>10</v>
      </c>
      <c r="B1256" s="1" t="s">
        <v>101</v>
      </c>
      <c r="C1256" s="4">
        <v>8</v>
      </c>
      <c r="D1256" s="8">
        <v>3.42</v>
      </c>
      <c r="E1256" s="4">
        <v>6</v>
      </c>
      <c r="F1256" s="8">
        <v>4.58</v>
      </c>
      <c r="G1256" s="4">
        <v>2</v>
      </c>
      <c r="H1256" s="8">
        <v>1.96</v>
      </c>
      <c r="I1256" s="4">
        <v>0</v>
      </c>
    </row>
    <row r="1257" spans="1:9" x14ac:dyDescent="0.2">
      <c r="A1257" s="2">
        <v>12</v>
      </c>
      <c r="B1257" s="1" t="s">
        <v>93</v>
      </c>
      <c r="C1257" s="4">
        <v>7</v>
      </c>
      <c r="D1257" s="8">
        <v>2.99</v>
      </c>
      <c r="E1257" s="4">
        <v>0</v>
      </c>
      <c r="F1257" s="8">
        <v>0</v>
      </c>
      <c r="G1257" s="4">
        <v>7</v>
      </c>
      <c r="H1257" s="8">
        <v>6.86</v>
      </c>
      <c r="I1257" s="4">
        <v>0</v>
      </c>
    </row>
    <row r="1258" spans="1:9" x14ac:dyDescent="0.2">
      <c r="A1258" s="2">
        <v>13</v>
      </c>
      <c r="B1258" s="1" t="s">
        <v>111</v>
      </c>
      <c r="C1258" s="4">
        <v>6</v>
      </c>
      <c r="D1258" s="8">
        <v>2.56</v>
      </c>
      <c r="E1258" s="4">
        <v>3</v>
      </c>
      <c r="F1258" s="8">
        <v>2.29</v>
      </c>
      <c r="G1258" s="4">
        <v>3</v>
      </c>
      <c r="H1258" s="8">
        <v>2.94</v>
      </c>
      <c r="I1258" s="4">
        <v>0</v>
      </c>
    </row>
    <row r="1259" spans="1:9" x14ac:dyDescent="0.2">
      <c r="A1259" s="2">
        <v>14</v>
      </c>
      <c r="B1259" s="1" t="s">
        <v>89</v>
      </c>
      <c r="C1259" s="4">
        <v>5</v>
      </c>
      <c r="D1259" s="8">
        <v>2.14</v>
      </c>
      <c r="E1259" s="4">
        <v>5</v>
      </c>
      <c r="F1259" s="8">
        <v>3.82</v>
      </c>
      <c r="G1259" s="4">
        <v>0</v>
      </c>
      <c r="H1259" s="8">
        <v>0</v>
      </c>
      <c r="I1259" s="4">
        <v>0</v>
      </c>
    </row>
    <row r="1260" spans="1:9" x14ac:dyDescent="0.2">
      <c r="A1260" s="2">
        <v>15</v>
      </c>
      <c r="B1260" s="1" t="s">
        <v>96</v>
      </c>
      <c r="C1260" s="4">
        <v>4</v>
      </c>
      <c r="D1260" s="8">
        <v>1.71</v>
      </c>
      <c r="E1260" s="4">
        <v>1</v>
      </c>
      <c r="F1260" s="8">
        <v>0.76</v>
      </c>
      <c r="G1260" s="4">
        <v>3</v>
      </c>
      <c r="H1260" s="8">
        <v>2.94</v>
      </c>
      <c r="I1260" s="4">
        <v>0</v>
      </c>
    </row>
    <row r="1261" spans="1:9" x14ac:dyDescent="0.2">
      <c r="A1261" s="2">
        <v>16</v>
      </c>
      <c r="B1261" s="1" t="s">
        <v>106</v>
      </c>
      <c r="C1261" s="4">
        <v>3</v>
      </c>
      <c r="D1261" s="8">
        <v>1.28</v>
      </c>
      <c r="E1261" s="4">
        <v>0</v>
      </c>
      <c r="F1261" s="8">
        <v>0</v>
      </c>
      <c r="G1261" s="4">
        <v>3</v>
      </c>
      <c r="H1261" s="8">
        <v>2.94</v>
      </c>
      <c r="I1261" s="4">
        <v>0</v>
      </c>
    </row>
    <row r="1262" spans="1:9" x14ac:dyDescent="0.2">
      <c r="A1262" s="2">
        <v>16</v>
      </c>
      <c r="B1262" s="1" t="s">
        <v>88</v>
      </c>
      <c r="C1262" s="4">
        <v>3</v>
      </c>
      <c r="D1262" s="8">
        <v>1.28</v>
      </c>
      <c r="E1262" s="4">
        <v>0</v>
      </c>
      <c r="F1262" s="8">
        <v>0</v>
      </c>
      <c r="G1262" s="4">
        <v>3</v>
      </c>
      <c r="H1262" s="8">
        <v>2.94</v>
      </c>
      <c r="I1262" s="4">
        <v>0</v>
      </c>
    </row>
    <row r="1263" spans="1:9" x14ac:dyDescent="0.2">
      <c r="A1263" s="2">
        <v>16</v>
      </c>
      <c r="B1263" s="1" t="s">
        <v>94</v>
      </c>
      <c r="C1263" s="4">
        <v>3</v>
      </c>
      <c r="D1263" s="8">
        <v>1.28</v>
      </c>
      <c r="E1263" s="4">
        <v>1</v>
      </c>
      <c r="F1263" s="8">
        <v>0.76</v>
      </c>
      <c r="G1263" s="4">
        <v>2</v>
      </c>
      <c r="H1263" s="8">
        <v>1.96</v>
      </c>
      <c r="I1263" s="4">
        <v>0</v>
      </c>
    </row>
    <row r="1264" spans="1:9" x14ac:dyDescent="0.2">
      <c r="A1264" s="2">
        <v>16</v>
      </c>
      <c r="B1264" s="1" t="s">
        <v>107</v>
      </c>
      <c r="C1264" s="4">
        <v>3</v>
      </c>
      <c r="D1264" s="8">
        <v>1.28</v>
      </c>
      <c r="E1264" s="4">
        <v>1</v>
      </c>
      <c r="F1264" s="8">
        <v>0.76</v>
      </c>
      <c r="G1264" s="4">
        <v>2</v>
      </c>
      <c r="H1264" s="8">
        <v>1.96</v>
      </c>
      <c r="I1264" s="4">
        <v>0</v>
      </c>
    </row>
    <row r="1265" spans="1:9" x14ac:dyDescent="0.2">
      <c r="A1265" s="2">
        <v>20</v>
      </c>
      <c r="B1265" s="1" t="s">
        <v>116</v>
      </c>
      <c r="C1265" s="4">
        <v>2</v>
      </c>
      <c r="D1265" s="8">
        <v>0.85</v>
      </c>
      <c r="E1265" s="4">
        <v>0</v>
      </c>
      <c r="F1265" s="8">
        <v>0</v>
      </c>
      <c r="G1265" s="4">
        <v>2</v>
      </c>
      <c r="H1265" s="8">
        <v>1.96</v>
      </c>
      <c r="I1265" s="4">
        <v>0</v>
      </c>
    </row>
    <row r="1266" spans="1:9" x14ac:dyDescent="0.2">
      <c r="A1266" s="2">
        <v>20</v>
      </c>
      <c r="B1266" s="1" t="s">
        <v>140</v>
      </c>
      <c r="C1266" s="4">
        <v>2</v>
      </c>
      <c r="D1266" s="8">
        <v>0.85</v>
      </c>
      <c r="E1266" s="4">
        <v>0</v>
      </c>
      <c r="F1266" s="8">
        <v>0</v>
      </c>
      <c r="G1266" s="4">
        <v>2</v>
      </c>
      <c r="H1266" s="8">
        <v>1.96</v>
      </c>
      <c r="I1266" s="4">
        <v>0</v>
      </c>
    </row>
    <row r="1267" spans="1:9" x14ac:dyDescent="0.2">
      <c r="A1267" s="2">
        <v>20</v>
      </c>
      <c r="B1267" s="1" t="s">
        <v>131</v>
      </c>
      <c r="C1267" s="4">
        <v>2</v>
      </c>
      <c r="D1267" s="8">
        <v>0.85</v>
      </c>
      <c r="E1267" s="4">
        <v>0</v>
      </c>
      <c r="F1267" s="8">
        <v>0</v>
      </c>
      <c r="G1267" s="4">
        <v>2</v>
      </c>
      <c r="H1267" s="8">
        <v>1.96</v>
      </c>
      <c r="I1267" s="4">
        <v>0</v>
      </c>
    </row>
    <row r="1268" spans="1:9" x14ac:dyDescent="0.2">
      <c r="A1268" s="2">
        <v>20</v>
      </c>
      <c r="B1268" s="1" t="s">
        <v>95</v>
      </c>
      <c r="C1268" s="4">
        <v>2</v>
      </c>
      <c r="D1268" s="8">
        <v>0.85</v>
      </c>
      <c r="E1268" s="4">
        <v>2</v>
      </c>
      <c r="F1268" s="8">
        <v>1.53</v>
      </c>
      <c r="G1268" s="4">
        <v>0</v>
      </c>
      <c r="H1268" s="8">
        <v>0</v>
      </c>
      <c r="I1268" s="4">
        <v>0</v>
      </c>
    </row>
    <row r="1269" spans="1:9" x14ac:dyDescent="0.2">
      <c r="A1269" s="2">
        <v>20</v>
      </c>
      <c r="B1269" s="1" t="s">
        <v>99</v>
      </c>
      <c r="C1269" s="4">
        <v>2</v>
      </c>
      <c r="D1269" s="8">
        <v>0.85</v>
      </c>
      <c r="E1269" s="4">
        <v>0</v>
      </c>
      <c r="F1269" s="8">
        <v>0</v>
      </c>
      <c r="G1269" s="4">
        <v>2</v>
      </c>
      <c r="H1269" s="8">
        <v>1.96</v>
      </c>
      <c r="I1269" s="4">
        <v>0</v>
      </c>
    </row>
    <row r="1270" spans="1:9" x14ac:dyDescent="0.2">
      <c r="A1270" s="2">
        <v>20</v>
      </c>
      <c r="B1270" s="1" t="s">
        <v>102</v>
      </c>
      <c r="C1270" s="4">
        <v>2</v>
      </c>
      <c r="D1270" s="8">
        <v>0.85</v>
      </c>
      <c r="E1270" s="4">
        <v>0</v>
      </c>
      <c r="F1270" s="8">
        <v>0</v>
      </c>
      <c r="G1270" s="4">
        <v>2</v>
      </c>
      <c r="H1270" s="8">
        <v>1.96</v>
      </c>
      <c r="I1270" s="4">
        <v>0</v>
      </c>
    </row>
    <row r="1271" spans="1:9" x14ac:dyDescent="0.2">
      <c r="A1271" s="1"/>
      <c r="C1271" s="4"/>
      <c r="D1271" s="8"/>
      <c r="E1271" s="4"/>
      <c r="F1271" s="8"/>
      <c r="G1271" s="4"/>
      <c r="H1271" s="8"/>
      <c r="I1271" s="4"/>
    </row>
    <row r="1272" spans="1:9" x14ac:dyDescent="0.2">
      <c r="A1272" s="1" t="s">
        <v>55</v>
      </c>
      <c r="C1272" s="4"/>
      <c r="D1272" s="8"/>
      <c r="E1272" s="4"/>
      <c r="F1272" s="8"/>
      <c r="G1272" s="4"/>
      <c r="H1272" s="8"/>
      <c r="I1272" s="4"/>
    </row>
    <row r="1273" spans="1:9" x14ac:dyDescent="0.2">
      <c r="A1273" s="2">
        <v>1</v>
      </c>
      <c r="B1273" s="1" t="s">
        <v>98</v>
      </c>
      <c r="C1273" s="4">
        <v>31</v>
      </c>
      <c r="D1273" s="8">
        <v>13.96</v>
      </c>
      <c r="E1273" s="4">
        <v>28</v>
      </c>
      <c r="F1273" s="8">
        <v>22.95</v>
      </c>
      <c r="G1273" s="4">
        <v>3</v>
      </c>
      <c r="H1273" s="8">
        <v>3.03</v>
      </c>
      <c r="I1273" s="4">
        <v>0</v>
      </c>
    </row>
    <row r="1274" spans="1:9" x14ac:dyDescent="0.2">
      <c r="A1274" s="2">
        <v>2</v>
      </c>
      <c r="B1274" s="1" t="s">
        <v>97</v>
      </c>
      <c r="C1274" s="4">
        <v>24</v>
      </c>
      <c r="D1274" s="8">
        <v>10.81</v>
      </c>
      <c r="E1274" s="4">
        <v>20</v>
      </c>
      <c r="F1274" s="8">
        <v>16.39</v>
      </c>
      <c r="G1274" s="4">
        <v>4</v>
      </c>
      <c r="H1274" s="8">
        <v>4.04</v>
      </c>
      <c r="I1274" s="4">
        <v>0</v>
      </c>
    </row>
    <row r="1275" spans="1:9" x14ac:dyDescent="0.2">
      <c r="A1275" s="2">
        <v>3</v>
      </c>
      <c r="B1275" s="1" t="s">
        <v>84</v>
      </c>
      <c r="C1275" s="4">
        <v>17</v>
      </c>
      <c r="D1275" s="8">
        <v>7.66</v>
      </c>
      <c r="E1275" s="4">
        <v>4</v>
      </c>
      <c r="F1275" s="8">
        <v>3.28</v>
      </c>
      <c r="G1275" s="4">
        <v>13</v>
      </c>
      <c r="H1275" s="8">
        <v>13.13</v>
      </c>
      <c r="I1275" s="4">
        <v>0</v>
      </c>
    </row>
    <row r="1276" spans="1:9" x14ac:dyDescent="0.2">
      <c r="A1276" s="2">
        <v>4</v>
      </c>
      <c r="B1276" s="1" t="s">
        <v>85</v>
      </c>
      <c r="C1276" s="4">
        <v>15</v>
      </c>
      <c r="D1276" s="8">
        <v>6.76</v>
      </c>
      <c r="E1276" s="4">
        <v>6</v>
      </c>
      <c r="F1276" s="8">
        <v>4.92</v>
      </c>
      <c r="G1276" s="4">
        <v>9</v>
      </c>
      <c r="H1276" s="8">
        <v>9.09</v>
      </c>
      <c r="I1276" s="4">
        <v>0</v>
      </c>
    </row>
    <row r="1277" spans="1:9" x14ac:dyDescent="0.2">
      <c r="A1277" s="2">
        <v>5</v>
      </c>
      <c r="B1277" s="1" t="s">
        <v>86</v>
      </c>
      <c r="C1277" s="4">
        <v>13</v>
      </c>
      <c r="D1277" s="8">
        <v>5.86</v>
      </c>
      <c r="E1277" s="4">
        <v>5</v>
      </c>
      <c r="F1277" s="8">
        <v>4.0999999999999996</v>
      </c>
      <c r="G1277" s="4">
        <v>8</v>
      </c>
      <c r="H1277" s="8">
        <v>8.08</v>
      </c>
      <c r="I1277" s="4">
        <v>0</v>
      </c>
    </row>
    <row r="1278" spans="1:9" x14ac:dyDescent="0.2">
      <c r="A1278" s="2">
        <v>5</v>
      </c>
      <c r="B1278" s="1" t="s">
        <v>90</v>
      </c>
      <c r="C1278" s="4">
        <v>13</v>
      </c>
      <c r="D1278" s="8">
        <v>5.86</v>
      </c>
      <c r="E1278" s="4">
        <v>11</v>
      </c>
      <c r="F1278" s="8">
        <v>9.02</v>
      </c>
      <c r="G1278" s="4">
        <v>2</v>
      </c>
      <c r="H1278" s="8">
        <v>2.02</v>
      </c>
      <c r="I1278" s="4">
        <v>0</v>
      </c>
    </row>
    <row r="1279" spans="1:9" x14ac:dyDescent="0.2">
      <c r="A1279" s="2">
        <v>7</v>
      </c>
      <c r="B1279" s="1" t="s">
        <v>111</v>
      </c>
      <c r="C1279" s="4">
        <v>11</v>
      </c>
      <c r="D1279" s="8">
        <v>4.95</v>
      </c>
      <c r="E1279" s="4">
        <v>8</v>
      </c>
      <c r="F1279" s="8">
        <v>6.56</v>
      </c>
      <c r="G1279" s="4">
        <v>3</v>
      </c>
      <c r="H1279" s="8">
        <v>3.03</v>
      </c>
      <c r="I1279" s="4">
        <v>0</v>
      </c>
    </row>
    <row r="1280" spans="1:9" x14ac:dyDescent="0.2">
      <c r="A1280" s="2">
        <v>8</v>
      </c>
      <c r="B1280" s="1" t="s">
        <v>91</v>
      </c>
      <c r="C1280" s="4">
        <v>10</v>
      </c>
      <c r="D1280" s="8">
        <v>4.5</v>
      </c>
      <c r="E1280" s="4">
        <v>6</v>
      </c>
      <c r="F1280" s="8">
        <v>4.92</v>
      </c>
      <c r="G1280" s="4">
        <v>4</v>
      </c>
      <c r="H1280" s="8">
        <v>4.04</v>
      </c>
      <c r="I1280" s="4">
        <v>0</v>
      </c>
    </row>
    <row r="1281" spans="1:9" x14ac:dyDescent="0.2">
      <c r="A1281" s="2">
        <v>9</v>
      </c>
      <c r="B1281" s="1" t="s">
        <v>92</v>
      </c>
      <c r="C1281" s="4">
        <v>9</v>
      </c>
      <c r="D1281" s="8">
        <v>4.05</v>
      </c>
      <c r="E1281" s="4">
        <v>4</v>
      </c>
      <c r="F1281" s="8">
        <v>3.28</v>
      </c>
      <c r="G1281" s="4">
        <v>5</v>
      </c>
      <c r="H1281" s="8">
        <v>5.05</v>
      </c>
      <c r="I1281" s="4">
        <v>0</v>
      </c>
    </row>
    <row r="1282" spans="1:9" x14ac:dyDescent="0.2">
      <c r="A1282" s="2">
        <v>10</v>
      </c>
      <c r="B1282" s="1" t="s">
        <v>110</v>
      </c>
      <c r="C1282" s="4">
        <v>7</v>
      </c>
      <c r="D1282" s="8">
        <v>3.15</v>
      </c>
      <c r="E1282" s="4">
        <v>2</v>
      </c>
      <c r="F1282" s="8">
        <v>1.64</v>
      </c>
      <c r="G1282" s="4">
        <v>5</v>
      </c>
      <c r="H1282" s="8">
        <v>5.05</v>
      </c>
      <c r="I1282" s="4">
        <v>0</v>
      </c>
    </row>
    <row r="1283" spans="1:9" x14ac:dyDescent="0.2">
      <c r="A1283" s="2">
        <v>11</v>
      </c>
      <c r="B1283" s="1" t="s">
        <v>89</v>
      </c>
      <c r="C1283" s="4">
        <v>6</v>
      </c>
      <c r="D1283" s="8">
        <v>2.7</v>
      </c>
      <c r="E1283" s="4">
        <v>5</v>
      </c>
      <c r="F1283" s="8">
        <v>4.0999999999999996</v>
      </c>
      <c r="G1283" s="4">
        <v>1</v>
      </c>
      <c r="H1283" s="8">
        <v>1.01</v>
      </c>
      <c r="I1283" s="4">
        <v>0</v>
      </c>
    </row>
    <row r="1284" spans="1:9" x14ac:dyDescent="0.2">
      <c r="A1284" s="2">
        <v>12</v>
      </c>
      <c r="B1284" s="1" t="s">
        <v>101</v>
      </c>
      <c r="C1284" s="4">
        <v>5</v>
      </c>
      <c r="D1284" s="8">
        <v>2.25</v>
      </c>
      <c r="E1284" s="4">
        <v>4</v>
      </c>
      <c r="F1284" s="8">
        <v>3.28</v>
      </c>
      <c r="G1284" s="4">
        <v>1</v>
      </c>
      <c r="H1284" s="8">
        <v>1.01</v>
      </c>
      <c r="I1284" s="4">
        <v>0</v>
      </c>
    </row>
    <row r="1285" spans="1:9" x14ac:dyDescent="0.2">
      <c r="A1285" s="2">
        <v>13</v>
      </c>
      <c r="B1285" s="1" t="s">
        <v>106</v>
      </c>
      <c r="C1285" s="4">
        <v>4</v>
      </c>
      <c r="D1285" s="8">
        <v>1.8</v>
      </c>
      <c r="E1285" s="4">
        <v>1</v>
      </c>
      <c r="F1285" s="8">
        <v>0.82</v>
      </c>
      <c r="G1285" s="4">
        <v>3</v>
      </c>
      <c r="H1285" s="8">
        <v>3.03</v>
      </c>
      <c r="I1285" s="4">
        <v>0</v>
      </c>
    </row>
    <row r="1286" spans="1:9" x14ac:dyDescent="0.2">
      <c r="A1286" s="2">
        <v>13</v>
      </c>
      <c r="B1286" s="1" t="s">
        <v>119</v>
      </c>
      <c r="C1286" s="4">
        <v>4</v>
      </c>
      <c r="D1286" s="8">
        <v>1.8</v>
      </c>
      <c r="E1286" s="4">
        <v>4</v>
      </c>
      <c r="F1286" s="8">
        <v>3.28</v>
      </c>
      <c r="G1286" s="4">
        <v>0</v>
      </c>
      <c r="H1286" s="8">
        <v>0</v>
      </c>
      <c r="I1286" s="4">
        <v>0</v>
      </c>
    </row>
    <row r="1287" spans="1:9" x14ac:dyDescent="0.2">
      <c r="A1287" s="2">
        <v>13</v>
      </c>
      <c r="B1287" s="1" t="s">
        <v>94</v>
      </c>
      <c r="C1287" s="4">
        <v>4</v>
      </c>
      <c r="D1287" s="8">
        <v>1.8</v>
      </c>
      <c r="E1287" s="4">
        <v>0</v>
      </c>
      <c r="F1287" s="8">
        <v>0</v>
      </c>
      <c r="G1287" s="4">
        <v>4</v>
      </c>
      <c r="H1287" s="8">
        <v>4.04</v>
      </c>
      <c r="I1287" s="4">
        <v>0</v>
      </c>
    </row>
    <row r="1288" spans="1:9" x14ac:dyDescent="0.2">
      <c r="A1288" s="2">
        <v>13</v>
      </c>
      <c r="B1288" s="1" t="s">
        <v>103</v>
      </c>
      <c r="C1288" s="4">
        <v>4</v>
      </c>
      <c r="D1288" s="8">
        <v>1.8</v>
      </c>
      <c r="E1288" s="4">
        <v>2</v>
      </c>
      <c r="F1288" s="8">
        <v>1.64</v>
      </c>
      <c r="G1288" s="4">
        <v>2</v>
      </c>
      <c r="H1288" s="8">
        <v>2.02</v>
      </c>
      <c r="I1288" s="4">
        <v>0</v>
      </c>
    </row>
    <row r="1289" spans="1:9" x14ac:dyDescent="0.2">
      <c r="A1289" s="2">
        <v>13</v>
      </c>
      <c r="B1289" s="1" t="s">
        <v>105</v>
      </c>
      <c r="C1289" s="4">
        <v>4</v>
      </c>
      <c r="D1289" s="8">
        <v>1.8</v>
      </c>
      <c r="E1289" s="4">
        <v>0</v>
      </c>
      <c r="F1289" s="8">
        <v>0</v>
      </c>
      <c r="G1289" s="4">
        <v>4</v>
      </c>
      <c r="H1289" s="8">
        <v>4.04</v>
      </c>
      <c r="I1289" s="4">
        <v>0</v>
      </c>
    </row>
    <row r="1290" spans="1:9" x14ac:dyDescent="0.2">
      <c r="A1290" s="2">
        <v>18</v>
      </c>
      <c r="B1290" s="1" t="s">
        <v>117</v>
      </c>
      <c r="C1290" s="4">
        <v>3</v>
      </c>
      <c r="D1290" s="8">
        <v>1.35</v>
      </c>
      <c r="E1290" s="4">
        <v>1</v>
      </c>
      <c r="F1290" s="8">
        <v>0.82</v>
      </c>
      <c r="G1290" s="4">
        <v>2</v>
      </c>
      <c r="H1290" s="8">
        <v>2.02</v>
      </c>
      <c r="I1290" s="4">
        <v>0</v>
      </c>
    </row>
    <row r="1291" spans="1:9" x14ac:dyDescent="0.2">
      <c r="A1291" s="2">
        <v>18</v>
      </c>
      <c r="B1291" s="1" t="s">
        <v>109</v>
      </c>
      <c r="C1291" s="4">
        <v>3</v>
      </c>
      <c r="D1291" s="8">
        <v>1.35</v>
      </c>
      <c r="E1291" s="4">
        <v>0</v>
      </c>
      <c r="F1291" s="8">
        <v>0</v>
      </c>
      <c r="G1291" s="4">
        <v>3</v>
      </c>
      <c r="H1291" s="8">
        <v>3.03</v>
      </c>
      <c r="I1291" s="4">
        <v>0</v>
      </c>
    </row>
    <row r="1292" spans="1:9" x14ac:dyDescent="0.2">
      <c r="A1292" s="2">
        <v>18</v>
      </c>
      <c r="B1292" s="1" t="s">
        <v>87</v>
      </c>
      <c r="C1292" s="4">
        <v>3</v>
      </c>
      <c r="D1292" s="8">
        <v>1.35</v>
      </c>
      <c r="E1292" s="4">
        <v>1</v>
      </c>
      <c r="F1292" s="8">
        <v>0.82</v>
      </c>
      <c r="G1292" s="4">
        <v>2</v>
      </c>
      <c r="H1292" s="8">
        <v>2.02</v>
      </c>
      <c r="I1292" s="4">
        <v>0</v>
      </c>
    </row>
    <row r="1293" spans="1:9" x14ac:dyDescent="0.2">
      <c r="A1293" s="2">
        <v>18</v>
      </c>
      <c r="B1293" s="1" t="s">
        <v>96</v>
      </c>
      <c r="C1293" s="4">
        <v>3</v>
      </c>
      <c r="D1293" s="8">
        <v>1.35</v>
      </c>
      <c r="E1293" s="4">
        <v>1</v>
      </c>
      <c r="F1293" s="8">
        <v>0.82</v>
      </c>
      <c r="G1293" s="4">
        <v>2</v>
      </c>
      <c r="H1293" s="8">
        <v>2.02</v>
      </c>
      <c r="I1293" s="4">
        <v>0</v>
      </c>
    </row>
    <row r="1294" spans="1:9" x14ac:dyDescent="0.2">
      <c r="A1294" s="1"/>
      <c r="C1294" s="4"/>
      <c r="D1294" s="8"/>
      <c r="E1294" s="4"/>
      <c r="F1294" s="8"/>
      <c r="G1294" s="4"/>
      <c r="H1294" s="8"/>
      <c r="I1294" s="4"/>
    </row>
    <row r="1295" spans="1:9" x14ac:dyDescent="0.2">
      <c r="A1295" s="1" t="s">
        <v>56</v>
      </c>
      <c r="C1295" s="4"/>
      <c r="D1295" s="8"/>
      <c r="E1295" s="4"/>
      <c r="F1295" s="8"/>
      <c r="G1295" s="4"/>
      <c r="H1295" s="8"/>
      <c r="I1295" s="4"/>
    </row>
    <row r="1296" spans="1:9" x14ac:dyDescent="0.2">
      <c r="A1296" s="2">
        <v>1</v>
      </c>
      <c r="B1296" s="1" t="s">
        <v>84</v>
      </c>
      <c r="C1296" s="4">
        <v>16</v>
      </c>
      <c r="D1296" s="8">
        <v>10.74</v>
      </c>
      <c r="E1296" s="4">
        <v>7</v>
      </c>
      <c r="F1296" s="8">
        <v>10</v>
      </c>
      <c r="G1296" s="4">
        <v>9</v>
      </c>
      <c r="H1296" s="8">
        <v>11.69</v>
      </c>
      <c r="I1296" s="4">
        <v>0</v>
      </c>
    </row>
    <row r="1297" spans="1:9" x14ac:dyDescent="0.2">
      <c r="A1297" s="2">
        <v>2</v>
      </c>
      <c r="B1297" s="1" t="s">
        <v>97</v>
      </c>
      <c r="C1297" s="4">
        <v>15</v>
      </c>
      <c r="D1297" s="8">
        <v>10.07</v>
      </c>
      <c r="E1297" s="4">
        <v>12</v>
      </c>
      <c r="F1297" s="8">
        <v>17.14</v>
      </c>
      <c r="G1297" s="4">
        <v>3</v>
      </c>
      <c r="H1297" s="8">
        <v>3.9</v>
      </c>
      <c r="I1297" s="4">
        <v>0</v>
      </c>
    </row>
    <row r="1298" spans="1:9" x14ac:dyDescent="0.2">
      <c r="A1298" s="2">
        <v>3</v>
      </c>
      <c r="B1298" s="1" t="s">
        <v>86</v>
      </c>
      <c r="C1298" s="4">
        <v>12</v>
      </c>
      <c r="D1298" s="8">
        <v>8.0500000000000007</v>
      </c>
      <c r="E1298" s="4">
        <v>1</v>
      </c>
      <c r="F1298" s="8">
        <v>1.43</v>
      </c>
      <c r="G1298" s="4">
        <v>11</v>
      </c>
      <c r="H1298" s="8">
        <v>14.29</v>
      </c>
      <c r="I1298" s="4">
        <v>0</v>
      </c>
    </row>
    <row r="1299" spans="1:9" x14ac:dyDescent="0.2">
      <c r="A1299" s="2">
        <v>3</v>
      </c>
      <c r="B1299" s="1" t="s">
        <v>98</v>
      </c>
      <c r="C1299" s="4">
        <v>12</v>
      </c>
      <c r="D1299" s="8">
        <v>8.0500000000000007</v>
      </c>
      <c r="E1299" s="4">
        <v>12</v>
      </c>
      <c r="F1299" s="8">
        <v>17.14</v>
      </c>
      <c r="G1299" s="4">
        <v>0</v>
      </c>
      <c r="H1299" s="8">
        <v>0</v>
      </c>
      <c r="I1299" s="4">
        <v>0</v>
      </c>
    </row>
    <row r="1300" spans="1:9" x14ac:dyDescent="0.2">
      <c r="A1300" s="2">
        <v>5</v>
      </c>
      <c r="B1300" s="1" t="s">
        <v>92</v>
      </c>
      <c r="C1300" s="4">
        <v>10</v>
      </c>
      <c r="D1300" s="8">
        <v>6.71</v>
      </c>
      <c r="E1300" s="4">
        <v>6</v>
      </c>
      <c r="F1300" s="8">
        <v>8.57</v>
      </c>
      <c r="G1300" s="4">
        <v>4</v>
      </c>
      <c r="H1300" s="8">
        <v>5.19</v>
      </c>
      <c r="I1300" s="4">
        <v>0</v>
      </c>
    </row>
    <row r="1301" spans="1:9" x14ac:dyDescent="0.2">
      <c r="A1301" s="2">
        <v>6</v>
      </c>
      <c r="B1301" s="1" t="s">
        <v>90</v>
      </c>
      <c r="C1301" s="4">
        <v>9</v>
      </c>
      <c r="D1301" s="8">
        <v>6.04</v>
      </c>
      <c r="E1301" s="4">
        <v>7</v>
      </c>
      <c r="F1301" s="8">
        <v>10</v>
      </c>
      <c r="G1301" s="4">
        <v>2</v>
      </c>
      <c r="H1301" s="8">
        <v>2.6</v>
      </c>
      <c r="I1301" s="4">
        <v>0</v>
      </c>
    </row>
    <row r="1302" spans="1:9" x14ac:dyDescent="0.2">
      <c r="A1302" s="2">
        <v>7</v>
      </c>
      <c r="B1302" s="1" t="s">
        <v>103</v>
      </c>
      <c r="C1302" s="4">
        <v>6</v>
      </c>
      <c r="D1302" s="8">
        <v>4.03</v>
      </c>
      <c r="E1302" s="4">
        <v>4</v>
      </c>
      <c r="F1302" s="8">
        <v>5.71</v>
      </c>
      <c r="G1302" s="4">
        <v>2</v>
      </c>
      <c r="H1302" s="8">
        <v>2.6</v>
      </c>
      <c r="I1302" s="4">
        <v>0</v>
      </c>
    </row>
    <row r="1303" spans="1:9" x14ac:dyDescent="0.2">
      <c r="A1303" s="2">
        <v>8</v>
      </c>
      <c r="B1303" s="1" t="s">
        <v>85</v>
      </c>
      <c r="C1303" s="4">
        <v>5</v>
      </c>
      <c r="D1303" s="8">
        <v>3.36</v>
      </c>
      <c r="E1303" s="4">
        <v>3</v>
      </c>
      <c r="F1303" s="8">
        <v>4.29</v>
      </c>
      <c r="G1303" s="4">
        <v>2</v>
      </c>
      <c r="H1303" s="8">
        <v>2.6</v>
      </c>
      <c r="I1303" s="4">
        <v>0</v>
      </c>
    </row>
    <row r="1304" spans="1:9" x14ac:dyDescent="0.2">
      <c r="A1304" s="2">
        <v>8</v>
      </c>
      <c r="B1304" s="1" t="s">
        <v>106</v>
      </c>
      <c r="C1304" s="4">
        <v>5</v>
      </c>
      <c r="D1304" s="8">
        <v>3.36</v>
      </c>
      <c r="E1304" s="4">
        <v>0</v>
      </c>
      <c r="F1304" s="8">
        <v>0</v>
      </c>
      <c r="G1304" s="4">
        <v>5</v>
      </c>
      <c r="H1304" s="8">
        <v>6.49</v>
      </c>
      <c r="I1304" s="4">
        <v>0</v>
      </c>
    </row>
    <row r="1305" spans="1:9" x14ac:dyDescent="0.2">
      <c r="A1305" s="2">
        <v>8</v>
      </c>
      <c r="B1305" s="1" t="s">
        <v>128</v>
      </c>
      <c r="C1305" s="4">
        <v>5</v>
      </c>
      <c r="D1305" s="8">
        <v>3.36</v>
      </c>
      <c r="E1305" s="4">
        <v>2</v>
      </c>
      <c r="F1305" s="8">
        <v>2.86</v>
      </c>
      <c r="G1305" s="4">
        <v>3</v>
      </c>
      <c r="H1305" s="8">
        <v>3.9</v>
      </c>
      <c r="I1305" s="4">
        <v>0</v>
      </c>
    </row>
    <row r="1306" spans="1:9" x14ac:dyDescent="0.2">
      <c r="A1306" s="2">
        <v>8</v>
      </c>
      <c r="B1306" s="1" t="s">
        <v>94</v>
      </c>
      <c r="C1306" s="4">
        <v>5</v>
      </c>
      <c r="D1306" s="8">
        <v>3.36</v>
      </c>
      <c r="E1306" s="4">
        <v>1</v>
      </c>
      <c r="F1306" s="8">
        <v>1.43</v>
      </c>
      <c r="G1306" s="4">
        <v>4</v>
      </c>
      <c r="H1306" s="8">
        <v>5.19</v>
      </c>
      <c r="I1306" s="4">
        <v>0</v>
      </c>
    </row>
    <row r="1307" spans="1:9" x14ac:dyDescent="0.2">
      <c r="A1307" s="2">
        <v>12</v>
      </c>
      <c r="B1307" s="1" t="s">
        <v>91</v>
      </c>
      <c r="C1307" s="4">
        <v>4</v>
      </c>
      <c r="D1307" s="8">
        <v>2.68</v>
      </c>
      <c r="E1307" s="4">
        <v>2</v>
      </c>
      <c r="F1307" s="8">
        <v>2.86</v>
      </c>
      <c r="G1307" s="4">
        <v>2</v>
      </c>
      <c r="H1307" s="8">
        <v>2.6</v>
      </c>
      <c r="I1307" s="4">
        <v>0</v>
      </c>
    </row>
    <row r="1308" spans="1:9" x14ac:dyDescent="0.2">
      <c r="A1308" s="2">
        <v>12</v>
      </c>
      <c r="B1308" s="1" t="s">
        <v>130</v>
      </c>
      <c r="C1308" s="4">
        <v>4</v>
      </c>
      <c r="D1308" s="8">
        <v>2.68</v>
      </c>
      <c r="E1308" s="4">
        <v>0</v>
      </c>
      <c r="F1308" s="8">
        <v>0</v>
      </c>
      <c r="G1308" s="4">
        <v>4</v>
      </c>
      <c r="H1308" s="8">
        <v>5.19</v>
      </c>
      <c r="I1308" s="4">
        <v>0</v>
      </c>
    </row>
    <row r="1309" spans="1:9" x14ac:dyDescent="0.2">
      <c r="A1309" s="2">
        <v>14</v>
      </c>
      <c r="B1309" s="1" t="s">
        <v>122</v>
      </c>
      <c r="C1309" s="4">
        <v>3</v>
      </c>
      <c r="D1309" s="8">
        <v>2.0099999999999998</v>
      </c>
      <c r="E1309" s="4">
        <v>0</v>
      </c>
      <c r="F1309" s="8">
        <v>0</v>
      </c>
      <c r="G1309" s="4">
        <v>3</v>
      </c>
      <c r="H1309" s="8">
        <v>3.9</v>
      </c>
      <c r="I1309" s="4">
        <v>0</v>
      </c>
    </row>
    <row r="1310" spans="1:9" x14ac:dyDescent="0.2">
      <c r="A1310" s="2">
        <v>14</v>
      </c>
      <c r="B1310" s="1" t="s">
        <v>136</v>
      </c>
      <c r="C1310" s="4">
        <v>3</v>
      </c>
      <c r="D1310" s="8">
        <v>2.0099999999999998</v>
      </c>
      <c r="E1310" s="4">
        <v>1</v>
      </c>
      <c r="F1310" s="8">
        <v>1.43</v>
      </c>
      <c r="G1310" s="4">
        <v>2</v>
      </c>
      <c r="H1310" s="8">
        <v>2.6</v>
      </c>
      <c r="I1310" s="4">
        <v>0</v>
      </c>
    </row>
    <row r="1311" spans="1:9" x14ac:dyDescent="0.2">
      <c r="A1311" s="2">
        <v>14</v>
      </c>
      <c r="B1311" s="1" t="s">
        <v>100</v>
      </c>
      <c r="C1311" s="4">
        <v>3</v>
      </c>
      <c r="D1311" s="8">
        <v>2.0099999999999998</v>
      </c>
      <c r="E1311" s="4">
        <v>2</v>
      </c>
      <c r="F1311" s="8">
        <v>2.86</v>
      </c>
      <c r="G1311" s="4">
        <v>1</v>
      </c>
      <c r="H1311" s="8">
        <v>1.3</v>
      </c>
      <c r="I1311" s="4">
        <v>0</v>
      </c>
    </row>
    <row r="1312" spans="1:9" x14ac:dyDescent="0.2">
      <c r="A1312" s="2">
        <v>14</v>
      </c>
      <c r="B1312" s="1" t="s">
        <v>105</v>
      </c>
      <c r="C1312" s="4">
        <v>3</v>
      </c>
      <c r="D1312" s="8">
        <v>2.0099999999999998</v>
      </c>
      <c r="E1312" s="4">
        <v>0</v>
      </c>
      <c r="F1312" s="8">
        <v>0</v>
      </c>
      <c r="G1312" s="4">
        <v>3</v>
      </c>
      <c r="H1312" s="8">
        <v>3.9</v>
      </c>
      <c r="I1312" s="4">
        <v>0</v>
      </c>
    </row>
    <row r="1313" spans="1:9" x14ac:dyDescent="0.2">
      <c r="A1313" s="2">
        <v>18</v>
      </c>
      <c r="B1313" s="1" t="s">
        <v>141</v>
      </c>
      <c r="C1313" s="4">
        <v>2</v>
      </c>
      <c r="D1313" s="8">
        <v>1.34</v>
      </c>
      <c r="E1313" s="4">
        <v>0</v>
      </c>
      <c r="F1313" s="8">
        <v>0</v>
      </c>
      <c r="G1313" s="4">
        <v>2</v>
      </c>
      <c r="H1313" s="8">
        <v>2.6</v>
      </c>
      <c r="I1313" s="4">
        <v>0</v>
      </c>
    </row>
    <row r="1314" spans="1:9" x14ac:dyDescent="0.2">
      <c r="A1314" s="2">
        <v>18</v>
      </c>
      <c r="B1314" s="1" t="s">
        <v>126</v>
      </c>
      <c r="C1314" s="4">
        <v>2</v>
      </c>
      <c r="D1314" s="8">
        <v>1.34</v>
      </c>
      <c r="E1314" s="4">
        <v>1</v>
      </c>
      <c r="F1314" s="8">
        <v>1.43</v>
      </c>
      <c r="G1314" s="4">
        <v>1</v>
      </c>
      <c r="H1314" s="8">
        <v>1.3</v>
      </c>
      <c r="I1314" s="4">
        <v>0</v>
      </c>
    </row>
    <row r="1315" spans="1:9" x14ac:dyDescent="0.2">
      <c r="A1315" s="2">
        <v>18</v>
      </c>
      <c r="B1315" s="1" t="s">
        <v>117</v>
      </c>
      <c r="C1315" s="4">
        <v>2</v>
      </c>
      <c r="D1315" s="8">
        <v>1.34</v>
      </c>
      <c r="E1315" s="4">
        <v>0</v>
      </c>
      <c r="F1315" s="8">
        <v>0</v>
      </c>
      <c r="G1315" s="4">
        <v>2</v>
      </c>
      <c r="H1315" s="8">
        <v>2.6</v>
      </c>
      <c r="I1315" s="4">
        <v>0</v>
      </c>
    </row>
    <row r="1316" spans="1:9" x14ac:dyDescent="0.2">
      <c r="A1316" s="2">
        <v>18</v>
      </c>
      <c r="B1316" s="1" t="s">
        <v>142</v>
      </c>
      <c r="C1316" s="4">
        <v>2</v>
      </c>
      <c r="D1316" s="8">
        <v>1.34</v>
      </c>
      <c r="E1316" s="4">
        <v>1</v>
      </c>
      <c r="F1316" s="8">
        <v>1.43</v>
      </c>
      <c r="G1316" s="4">
        <v>1</v>
      </c>
      <c r="H1316" s="8">
        <v>1.3</v>
      </c>
      <c r="I1316" s="4">
        <v>0</v>
      </c>
    </row>
    <row r="1317" spans="1:9" x14ac:dyDescent="0.2">
      <c r="A1317" s="2">
        <v>18</v>
      </c>
      <c r="B1317" s="1" t="s">
        <v>119</v>
      </c>
      <c r="C1317" s="4">
        <v>2</v>
      </c>
      <c r="D1317" s="8">
        <v>1.34</v>
      </c>
      <c r="E1317" s="4">
        <v>2</v>
      </c>
      <c r="F1317" s="8">
        <v>2.86</v>
      </c>
      <c r="G1317" s="4">
        <v>0</v>
      </c>
      <c r="H1317" s="8">
        <v>0</v>
      </c>
      <c r="I1317" s="4">
        <v>0</v>
      </c>
    </row>
    <row r="1318" spans="1:9" x14ac:dyDescent="0.2">
      <c r="A1318" s="2">
        <v>18</v>
      </c>
      <c r="B1318" s="1" t="s">
        <v>89</v>
      </c>
      <c r="C1318" s="4">
        <v>2</v>
      </c>
      <c r="D1318" s="8">
        <v>1.34</v>
      </c>
      <c r="E1318" s="4">
        <v>1</v>
      </c>
      <c r="F1318" s="8">
        <v>1.43</v>
      </c>
      <c r="G1318" s="4">
        <v>1</v>
      </c>
      <c r="H1318" s="8">
        <v>1.3</v>
      </c>
      <c r="I1318" s="4">
        <v>0</v>
      </c>
    </row>
    <row r="1319" spans="1:9" x14ac:dyDescent="0.2">
      <c r="A1319" s="2">
        <v>18</v>
      </c>
      <c r="B1319" s="1" t="s">
        <v>93</v>
      </c>
      <c r="C1319" s="4">
        <v>2</v>
      </c>
      <c r="D1319" s="8">
        <v>1.34</v>
      </c>
      <c r="E1319" s="4">
        <v>0</v>
      </c>
      <c r="F1319" s="8">
        <v>0</v>
      </c>
      <c r="G1319" s="4">
        <v>2</v>
      </c>
      <c r="H1319" s="8">
        <v>2.6</v>
      </c>
      <c r="I1319" s="4">
        <v>0</v>
      </c>
    </row>
    <row r="1320" spans="1:9" x14ac:dyDescent="0.2">
      <c r="A1320" s="2">
        <v>18</v>
      </c>
      <c r="B1320" s="1" t="s">
        <v>95</v>
      </c>
      <c r="C1320" s="4">
        <v>2</v>
      </c>
      <c r="D1320" s="8">
        <v>1.34</v>
      </c>
      <c r="E1320" s="4">
        <v>1</v>
      </c>
      <c r="F1320" s="8">
        <v>1.43</v>
      </c>
      <c r="G1320" s="4">
        <v>1</v>
      </c>
      <c r="H1320" s="8">
        <v>1.3</v>
      </c>
      <c r="I1320" s="4">
        <v>0</v>
      </c>
    </row>
    <row r="1321" spans="1:9" x14ac:dyDescent="0.2">
      <c r="A1321" s="2">
        <v>18</v>
      </c>
      <c r="B1321" s="1" t="s">
        <v>96</v>
      </c>
      <c r="C1321" s="4">
        <v>2</v>
      </c>
      <c r="D1321" s="8">
        <v>1.34</v>
      </c>
      <c r="E1321" s="4">
        <v>1</v>
      </c>
      <c r="F1321" s="8">
        <v>1.43</v>
      </c>
      <c r="G1321" s="4">
        <v>1</v>
      </c>
      <c r="H1321" s="8">
        <v>1.3</v>
      </c>
      <c r="I1321" s="4">
        <v>0</v>
      </c>
    </row>
    <row r="1322" spans="1:9" x14ac:dyDescent="0.2">
      <c r="A1322" s="2">
        <v>18</v>
      </c>
      <c r="B1322" s="1" t="s">
        <v>111</v>
      </c>
      <c r="C1322" s="4">
        <v>2</v>
      </c>
      <c r="D1322" s="8">
        <v>1.34</v>
      </c>
      <c r="E1322" s="4">
        <v>1</v>
      </c>
      <c r="F1322" s="8">
        <v>1.43</v>
      </c>
      <c r="G1322" s="4">
        <v>1</v>
      </c>
      <c r="H1322" s="8">
        <v>1.3</v>
      </c>
      <c r="I1322" s="4">
        <v>0</v>
      </c>
    </row>
    <row r="1323" spans="1:9" x14ac:dyDescent="0.2">
      <c r="A1323" s="1"/>
      <c r="C1323" s="4"/>
      <c r="D1323" s="8"/>
      <c r="E1323" s="4"/>
      <c r="F1323" s="8"/>
      <c r="G1323" s="4"/>
      <c r="H1323" s="8"/>
      <c r="I1323" s="4"/>
    </row>
    <row r="1324" spans="1:9" x14ac:dyDescent="0.2">
      <c r="A1324" s="1" t="s">
        <v>57</v>
      </c>
      <c r="C1324" s="4"/>
      <c r="D1324" s="8"/>
      <c r="E1324" s="4"/>
      <c r="F1324" s="8"/>
      <c r="G1324" s="4"/>
      <c r="H1324" s="8"/>
      <c r="I1324" s="4"/>
    </row>
    <row r="1325" spans="1:9" x14ac:dyDescent="0.2">
      <c r="A1325" s="2">
        <v>1</v>
      </c>
      <c r="B1325" s="1" t="s">
        <v>97</v>
      </c>
      <c r="C1325" s="4">
        <v>25</v>
      </c>
      <c r="D1325" s="8">
        <v>13.3</v>
      </c>
      <c r="E1325" s="4">
        <v>20</v>
      </c>
      <c r="F1325" s="8">
        <v>18.52</v>
      </c>
      <c r="G1325" s="4">
        <v>5</v>
      </c>
      <c r="H1325" s="8">
        <v>6.33</v>
      </c>
      <c r="I1325" s="4">
        <v>0</v>
      </c>
    </row>
    <row r="1326" spans="1:9" x14ac:dyDescent="0.2">
      <c r="A1326" s="2">
        <v>2</v>
      </c>
      <c r="B1326" s="1" t="s">
        <v>84</v>
      </c>
      <c r="C1326" s="4">
        <v>21</v>
      </c>
      <c r="D1326" s="8">
        <v>11.17</v>
      </c>
      <c r="E1326" s="4">
        <v>6</v>
      </c>
      <c r="F1326" s="8">
        <v>5.56</v>
      </c>
      <c r="G1326" s="4">
        <v>15</v>
      </c>
      <c r="H1326" s="8">
        <v>18.989999999999998</v>
      </c>
      <c r="I1326" s="4">
        <v>0</v>
      </c>
    </row>
    <row r="1327" spans="1:9" x14ac:dyDescent="0.2">
      <c r="A1327" s="2">
        <v>2</v>
      </c>
      <c r="B1327" s="1" t="s">
        <v>98</v>
      </c>
      <c r="C1327" s="4">
        <v>21</v>
      </c>
      <c r="D1327" s="8">
        <v>11.17</v>
      </c>
      <c r="E1327" s="4">
        <v>21</v>
      </c>
      <c r="F1327" s="8">
        <v>19.440000000000001</v>
      </c>
      <c r="G1327" s="4">
        <v>0</v>
      </c>
      <c r="H1327" s="8">
        <v>0</v>
      </c>
      <c r="I1327" s="4">
        <v>0</v>
      </c>
    </row>
    <row r="1328" spans="1:9" x14ac:dyDescent="0.2">
      <c r="A1328" s="2">
        <v>4</v>
      </c>
      <c r="B1328" s="1" t="s">
        <v>85</v>
      </c>
      <c r="C1328" s="4">
        <v>16</v>
      </c>
      <c r="D1328" s="8">
        <v>8.51</v>
      </c>
      <c r="E1328" s="4">
        <v>9</v>
      </c>
      <c r="F1328" s="8">
        <v>8.33</v>
      </c>
      <c r="G1328" s="4">
        <v>7</v>
      </c>
      <c r="H1328" s="8">
        <v>8.86</v>
      </c>
      <c r="I1328" s="4">
        <v>0</v>
      </c>
    </row>
    <row r="1329" spans="1:9" x14ac:dyDescent="0.2">
      <c r="A1329" s="2">
        <v>4</v>
      </c>
      <c r="B1329" s="1" t="s">
        <v>90</v>
      </c>
      <c r="C1329" s="4">
        <v>16</v>
      </c>
      <c r="D1329" s="8">
        <v>8.51</v>
      </c>
      <c r="E1329" s="4">
        <v>16</v>
      </c>
      <c r="F1329" s="8">
        <v>14.81</v>
      </c>
      <c r="G1329" s="4">
        <v>0</v>
      </c>
      <c r="H1329" s="8">
        <v>0</v>
      </c>
      <c r="I1329" s="4">
        <v>0</v>
      </c>
    </row>
    <row r="1330" spans="1:9" x14ac:dyDescent="0.2">
      <c r="A1330" s="2">
        <v>6</v>
      </c>
      <c r="B1330" s="1" t="s">
        <v>92</v>
      </c>
      <c r="C1330" s="4">
        <v>9</v>
      </c>
      <c r="D1330" s="8">
        <v>4.79</v>
      </c>
      <c r="E1330" s="4">
        <v>4</v>
      </c>
      <c r="F1330" s="8">
        <v>3.7</v>
      </c>
      <c r="G1330" s="4">
        <v>5</v>
      </c>
      <c r="H1330" s="8">
        <v>6.33</v>
      </c>
      <c r="I1330" s="4">
        <v>0</v>
      </c>
    </row>
    <row r="1331" spans="1:9" x14ac:dyDescent="0.2">
      <c r="A1331" s="2">
        <v>6</v>
      </c>
      <c r="B1331" s="1" t="s">
        <v>103</v>
      </c>
      <c r="C1331" s="4">
        <v>9</v>
      </c>
      <c r="D1331" s="8">
        <v>4.79</v>
      </c>
      <c r="E1331" s="4">
        <v>8</v>
      </c>
      <c r="F1331" s="8">
        <v>7.41</v>
      </c>
      <c r="G1331" s="4">
        <v>1</v>
      </c>
      <c r="H1331" s="8">
        <v>1.27</v>
      </c>
      <c r="I1331" s="4">
        <v>0</v>
      </c>
    </row>
    <row r="1332" spans="1:9" x14ac:dyDescent="0.2">
      <c r="A1332" s="2">
        <v>8</v>
      </c>
      <c r="B1332" s="1" t="s">
        <v>86</v>
      </c>
      <c r="C1332" s="4">
        <v>7</v>
      </c>
      <c r="D1332" s="8">
        <v>3.72</v>
      </c>
      <c r="E1332" s="4">
        <v>2</v>
      </c>
      <c r="F1332" s="8">
        <v>1.85</v>
      </c>
      <c r="G1332" s="4">
        <v>5</v>
      </c>
      <c r="H1332" s="8">
        <v>6.33</v>
      </c>
      <c r="I1332" s="4">
        <v>0</v>
      </c>
    </row>
    <row r="1333" spans="1:9" x14ac:dyDescent="0.2">
      <c r="A1333" s="2">
        <v>9</v>
      </c>
      <c r="B1333" s="1" t="s">
        <v>101</v>
      </c>
      <c r="C1333" s="4">
        <v>5</v>
      </c>
      <c r="D1333" s="8">
        <v>2.66</v>
      </c>
      <c r="E1333" s="4">
        <v>5</v>
      </c>
      <c r="F1333" s="8">
        <v>4.63</v>
      </c>
      <c r="G1333" s="4">
        <v>0</v>
      </c>
      <c r="H1333" s="8">
        <v>0</v>
      </c>
      <c r="I1333" s="4">
        <v>0</v>
      </c>
    </row>
    <row r="1334" spans="1:9" x14ac:dyDescent="0.2">
      <c r="A1334" s="2">
        <v>10</v>
      </c>
      <c r="B1334" s="1" t="s">
        <v>91</v>
      </c>
      <c r="C1334" s="4">
        <v>4</v>
      </c>
      <c r="D1334" s="8">
        <v>2.13</v>
      </c>
      <c r="E1334" s="4">
        <v>4</v>
      </c>
      <c r="F1334" s="8">
        <v>3.7</v>
      </c>
      <c r="G1334" s="4">
        <v>0</v>
      </c>
      <c r="H1334" s="8">
        <v>0</v>
      </c>
      <c r="I1334" s="4">
        <v>0</v>
      </c>
    </row>
    <row r="1335" spans="1:9" x14ac:dyDescent="0.2">
      <c r="A1335" s="2">
        <v>11</v>
      </c>
      <c r="B1335" s="1" t="s">
        <v>106</v>
      </c>
      <c r="C1335" s="4">
        <v>3</v>
      </c>
      <c r="D1335" s="8">
        <v>1.6</v>
      </c>
      <c r="E1335" s="4">
        <v>0</v>
      </c>
      <c r="F1335" s="8">
        <v>0</v>
      </c>
      <c r="G1335" s="4">
        <v>3</v>
      </c>
      <c r="H1335" s="8">
        <v>3.8</v>
      </c>
      <c r="I1335" s="4">
        <v>0</v>
      </c>
    </row>
    <row r="1336" spans="1:9" x14ac:dyDescent="0.2">
      <c r="A1336" s="2">
        <v>11</v>
      </c>
      <c r="B1336" s="1" t="s">
        <v>109</v>
      </c>
      <c r="C1336" s="4">
        <v>3</v>
      </c>
      <c r="D1336" s="8">
        <v>1.6</v>
      </c>
      <c r="E1336" s="4">
        <v>0</v>
      </c>
      <c r="F1336" s="8">
        <v>0</v>
      </c>
      <c r="G1336" s="4">
        <v>3</v>
      </c>
      <c r="H1336" s="8">
        <v>3.8</v>
      </c>
      <c r="I1336" s="4">
        <v>0</v>
      </c>
    </row>
    <row r="1337" spans="1:9" x14ac:dyDescent="0.2">
      <c r="A1337" s="2">
        <v>11</v>
      </c>
      <c r="B1337" s="1" t="s">
        <v>88</v>
      </c>
      <c r="C1337" s="4">
        <v>3</v>
      </c>
      <c r="D1337" s="8">
        <v>1.6</v>
      </c>
      <c r="E1337" s="4">
        <v>1</v>
      </c>
      <c r="F1337" s="8">
        <v>0.93</v>
      </c>
      <c r="G1337" s="4">
        <v>2</v>
      </c>
      <c r="H1337" s="8">
        <v>2.5299999999999998</v>
      </c>
      <c r="I1337" s="4">
        <v>0</v>
      </c>
    </row>
    <row r="1338" spans="1:9" x14ac:dyDescent="0.2">
      <c r="A1338" s="2">
        <v>11</v>
      </c>
      <c r="B1338" s="1" t="s">
        <v>100</v>
      </c>
      <c r="C1338" s="4">
        <v>3</v>
      </c>
      <c r="D1338" s="8">
        <v>1.6</v>
      </c>
      <c r="E1338" s="4">
        <v>2</v>
      </c>
      <c r="F1338" s="8">
        <v>1.85</v>
      </c>
      <c r="G1338" s="4">
        <v>1</v>
      </c>
      <c r="H1338" s="8">
        <v>1.27</v>
      </c>
      <c r="I1338" s="4">
        <v>0</v>
      </c>
    </row>
    <row r="1339" spans="1:9" x14ac:dyDescent="0.2">
      <c r="A1339" s="2">
        <v>15</v>
      </c>
      <c r="B1339" s="1" t="s">
        <v>110</v>
      </c>
      <c r="C1339" s="4">
        <v>2</v>
      </c>
      <c r="D1339" s="8">
        <v>1.06</v>
      </c>
      <c r="E1339" s="4">
        <v>0</v>
      </c>
      <c r="F1339" s="8">
        <v>0</v>
      </c>
      <c r="G1339" s="4">
        <v>2</v>
      </c>
      <c r="H1339" s="8">
        <v>2.5299999999999998</v>
      </c>
      <c r="I1339" s="4">
        <v>0</v>
      </c>
    </row>
    <row r="1340" spans="1:9" x14ac:dyDescent="0.2">
      <c r="A1340" s="2">
        <v>15</v>
      </c>
      <c r="B1340" s="1" t="s">
        <v>132</v>
      </c>
      <c r="C1340" s="4">
        <v>2</v>
      </c>
      <c r="D1340" s="8">
        <v>1.06</v>
      </c>
      <c r="E1340" s="4">
        <v>1</v>
      </c>
      <c r="F1340" s="8">
        <v>0.93</v>
      </c>
      <c r="G1340" s="4">
        <v>1</v>
      </c>
      <c r="H1340" s="8">
        <v>1.27</v>
      </c>
      <c r="I1340" s="4">
        <v>0</v>
      </c>
    </row>
    <row r="1341" spans="1:9" x14ac:dyDescent="0.2">
      <c r="A1341" s="2">
        <v>15</v>
      </c>
      <c r="B1341" s="1" t="s">
        <v>141</v>
      </c>
      <c r="C1341" s="4">
        <v>2</v>
      </c>
      <c r="D1341" s="8">
        <v>1.06</v>
      </c>
      <c r="E1341" s="4">
        <v>0</v>
      </c>
      <c r="F1341" s="8">
        <v>0</v>
      </c>
      <c r="G1341" s="4">
        <v>2</v>
      </c>
      <c r="H1341" s="8">
        <v>2.5299999999999998</v>
      </c>
      <c r="I1341" s="4">
        <v>0</v>
      </c>
    </row>
    <row r="1342" spans="1:9" x14ac:dyDescent="0.2">
      <c r="A1342" s="2">
        <v>15</v>
      </c>
      <c r="B1342" s="1" t="s">
        <v>116</v>
      </c>
      <c r="C1342" s="4">
        <v>2</v>
      </c>
      <c r="D1342" s="8">
        <v>1.06</v>
      </c>
      <c r="E1342" s="4">
        <v>1</v>
      </c>
      <c r="F1342" s="8">
        <v>0.93</v>
      </c>
      <c r="G1342" s="4">
        <v>1</v>
      </c>
      <c r="H1342" s="8">
        <v>1.27</v>
      </c>
      <c r="I1342" s="4">
        <v>0</v>
      </c>
    </row>
    <row r="1343" spans="1:9" x14ac:dyDescent="0.2">
      <c r="A1343" s="2">
        <v>15</v>
      </c>
      <c r="B1343" s="1" t="s">
        <v>122</v>
      </c>
      <c r="C1343" s="4">
        <v>2</v>
      </c>
      <c r="D1343" s="8">
        <v>1.06</v>
      </c>
      <c r="E1343" s="4">
        <v>0</v>
      </c>
      <c r="F1343" s="8">
        <v>0</v>
      </c>
      <c r="G1343" s="4">
        <v>2</v>
      </c>
      <c r="H1343" s="8">
        <v>2.5299999999999998</v>
      </c>
      <c r="I1343" s="4">
        <v>0</v>
      </c>
    </row>
    <row r="1344" spans="1:9" x14ac:dyDescent="0.2">
      <c r="A1344" s="2">
        <v>15</v>
      </c>
      <c r="B1344" s="1" t="s">
        <v>126</v>
      </c>
      <c r="C1344" s="4">
        <v>2</v>
      </c>
      <c r="D1344" s="8">
        <v>1.06</v>
      </c>
      <c r="E1344" s="4">
        <v>1</v>
      </c>
      <c r="F1344" s="8">
        <v>0.93</v>
      </c>
      <c r="G1344" s="4">
        <v>1</v>
      </c>
      <c r="H1344" s="8">
        <v>1.27</v>
      </c>
      <c r="I1344" s="4">
        <v>0</v>
      </c>
    </row>
    <row r="1345" spans="1:9" x14ac:dyDescent="0.2">
      <c r="A1345" s="2">
        <v>15</v>
      </c>
      <c r="B1345" s="1" t="s">
        <v>117</v>
      </c>
      <c r="C1345" s="4">
        <v>2</v>
      </c>
      <c r="D1345" s="8">
        <v>1.06</v>
      </c>
      <c r="E1345" s="4">
        <v>0</v>
      </c>
      <c r="F1345" s="8">
        <v>0</v>
      </c>
      <c r="G1345" s="4">
        <v>2</v>
      </c>
      <c r="H1345" s="8">
        <v>2.5299999999999998</v>
      </c>
      <c r="I1345" s="4">
        <v>0</v>
      </c>
    </row>
    <row r="1346" spans="1:9" x14ac:dyDescent="0.2">
      <c r="A1346" s="2">
        <v>15</v>
      </c>
      <c r="B1346" s="1" t="s">
        <v>143</v>
      </c>
      <c r="C1346" s="4">
        <v>2</v>
      </c>
      <c r="D1346" s="8">
        <v>1.06</v>
      </c>
      <c r="E1346" s="4">
        <v>1</v>
      </c>
      <c r="F1346" s="8">
        <v>0.93</v>
      </c>
      <c r="G1346" s="4">
        <v>1</v>
      </c>
      <c r="H1346" s="8">
        <v>1.27</v>
      </c>
      <c r="I1346" s="4">
        <v>0</v>
      </c>
    </row>
    <row r="1347" spans="1:9" x14ac:dyDescent="0.2">
      <c r="A1347" s="2">
        <v>15</v>
      </c>
      <c r="B1347" s="1" t="s">
        <v>114</v>
      </c>
      <c r="C1347" s="4">
        <v>2</v>
      </c>
      <c r="D1347" s="8">
        <v>1.06</v>
      </c>
      <c r="E1347" s="4">
        <v>0</v>
      </c>
      <c r="F1347" s="8">
        <v>0</v>
      </c>
      <c r="G1347" s="4">
        <v>2</v>
      </c>
      <c r="H1347" s="8">
        <v>2.5299999999999998</v>
      </c>
      <c r="I1347" s="4">
        <v>0</v>
      </c>
    </row>
    <row r="1348" spans="1:9" x14ac:dyDescent="0.2">
      <c r="A1348" s="2">
        <v>15</v>
      </c>
      <c r="B1348" s="1" t="s">
        <v>104</v>
      </c>
      <c r="C1348" s="4">
        <v>2</v>
      </c>
      <c r="D1348" s="8">
        <v>1.06</v>
      </c>
      <c r="E1348" s="4">
        <v>1</v>
      </c>
      <c r="F1348" s="8">
        <v>0.93</v>
      </c>
      <c r="G1348" s="4">
        <v>1</v>
      </c>
      <c r="H1348" s="8">
        <v>1.27</v>
      </c>
      <c r="I1348" s="4">
        <v>0</v>
      </c>
    </row>
    <row r="1349" spans="1:9" x14ac:dyDescent="0.2">
      <c r="A1349" s="2">
        <v>15</v>
      </c>
      <c r="B1349" s="1" t="s">
        <v>120</v>
      </c>
      <c r="C1349" s="4">
        <v>2</v>
      </c>
      <c r="D1349" s="8">
        <v>1.06</v>
      </c>
      <c r="E1349" s="4">
        <v>1</v>
      </c>
      <c r="F1349" s="8">
        <v>0.93</v>
      </c>
      <c r="G1349" s="4">
        <v>1</v>
      </c>
      <c r="H1349" s="8">
        <v>1.27</v>
      </c>
      <c r="I1349" s="4">
        <v>0</v>
      </c>
    </row>
    <row r="1350" spans="1:9" x14ac:dyDescent="0.2">
      <c r="A1350" s="2">
        <v>15</v>
      </c>
      <c r="B1350" s="1" t="s">
        <v>94</v>
      </c>
      <c r="C1350" s="4">
        <v>2</v>
      </c>
      <c r="D1350" s="8">
        <v>1.06</v>
      </c>
      <c r="E1350" s="4">
        <v>0</v>
      </c>
      <c r="F1350" s="8">
        <v>0</v>
      </c>
      <c r="G1350" s="4">
        <v>2</v>
      </c>
      <c r="H1350" s="8">
        <v>2.5299999999999998</v>
      </c>
      <c r="I1350" s="4">
        <v>0</v>
      </c>
    </row>
    <row r="1351" spans="1:9" x14ac:dyDescent="0.2">
      <c r="A1351" s="2">
        <v>15</v>
      </c>
      <c r="B1351" s="1" t="s">
        <v>107</v>
      </c>
      <c r="C1351" s="4">
        <v>2</v>
      </c>
      <c r="D1351" s="8">
        <v>1.06</v>
      </c>
      <c r="E1351" s="4">
        <v>1</v>
      </c>
      <c r="F1351" s="8">
        <v>0.93</v>
      </c>
      <c r="G1351" s="4">
        <v>1</v>
      </c>
      <c r="H1351" s="8">
        <v>1.27</v>
      </c>
      <c r="I1351" s="4">
        <v>0</v>
      </c>
    </row>
    <row r="1352" spans="1:9" x14ac:dyDescent="0.2">
      <c r="A1352" s="2">
        <v>15</v>
      </c>
      <c r="B1352" s="1" t="s">
        <v>102</v>
      </c>
      <c r="C1352" s="4">
        <v>2</v>
      </c>
      <c r="D1352" s="8">
        <v>1.06</v>
      </c>
      <c r="E1352" s="4">
        <v>0</v>
      </c>
      <c r="F1352" s="8">
        <v>0</v>
      </c>
      <c r="G1352" s="4">
        <v>2</v>
      </c>
      <c r="H1352" s="8">
        <v>2.5299999999999998</v>
      </c>
      <c r="I1352" s="4">
        <v>0</v>
      </c>
    </row>
    <row r="1353" spans="1:9" x14ac:dyDescent="0.2">
      <c r="A1353" s="1"/>
      <c r="C1353" s="4"/>
      <c r="D1353" s="8"/>
      <c r="E1353" s="4"/>
      <c r="F1353" s="8"/>
      <c r="G1353" s="4"/>
      <c r="H1353" s="8"/>
      <c r="I1353" s="4"/>
    </row>
    <row r="1354" spans="1:9" x14ac:dyDescent="0.2">
      <c r="A1354" s="1" t="s">
        <v>58</v>
      </c>
      <c r="C1354" s="4"/>
      <c r="D1354" s="8"/>
      <c r="E1354" s="4"/>
      <c r="F1354" s="8"/>
      <c r="G1354" s="4"/>
      <c r="H1354" s="8"/>
      <c r="I1354" s="4"/>
    </row>
    <row r="1355" spans="1:9" x14ac:dyDescent="0.2">
      <c r="A1355" s="2">
        <v>1</v>
      </c>
      <c r="B1355" s="1" t="s">
        <v>97</v>
      </c>
      <c r="C1355" s="4">
        <v>44</v>
      </c>
      <c r="D1355" s="8">
        <v>14.1</v>
      </c>
      <c r="E1355" s="4">
        <v>35</v>
      </c>
      <c r="F1355" s="8">
        <v>19.77</v>
      </c>
      <c r="G1355" s="4">
        <v>9</v>
      </c>
      <c r="H1355" s="8">
        <v>6.82</v>
      </c>
      <c r="I1355" s="4">
        <v>0</v>
      </c>
    </row>
    <row r="1356" spans="1:9" x14ac:dyDescent="0.2">
      <c r="A1356" s="2">
        <v>2</v>
      </c>
      <c r="B1356" s="1" t="s">
        <v>92</v>
      </c>
      <c r="C1356" s="4">
        <v>37</v>
      </c>
      <c r="D1356" s="8">
        <v>11.86</v>
      </c>
      <c r="E1356" s="4">
        <v>21</v>
      </c>
      <c r="F1356" s="8">
        <v>11.86</v>
      </c>
      <c r="G1356" s="4">
        <v>16</v>
      </c>
      <c r="H1356" s="8">
        <v>12.12</v>
      </c>
      <c r="I1356" s="4">
        <v>0</v>
      </c>
    </row>
    <row r="1357" spans="1:9" x14ac:dyDescent="0.2">
      <c r="A1357" s="2">
        <v>3</v>
      </c>
      <c r="B1357" s="1" t="s">
        <v>98</v>
      </c>
      <c r="C1357" s="4">
        <v>31</v>
      </c>
      <c r="D1357" s="8">
        <v>9.94</v>
      </c>
      <c r="E1357" s="4">
        <v>27</v>
      </c>
      <c r="F1357" s="8">
        <v>15.25</v>
      </c>
      <c r="G1357" s="4">
        <v>4</v>
      </c>
      <c r="H1357" s="8">
        <v>3.03</v>
      </c>
      <c r="I1357" s="4">
        <v>0</v>
      </c>
    </row>
    <row r="1358" spans="1:9" x14ac:dyDescent="0.2">
      <c r="A1358" s="2">
        <v>4</v>
      </c>
      <c r="B1358" s="1" t="s">
        <v>85</v>
      </c>
      <c r="C1358" s="4">
        <v>25</v>
      </c>
      <c r="D1358" s="8">
        <v>8.01</v>
      </c>
      <c r="E1358" s="4">
        <v>16</v>
      </c>
      <c r="F1358" s="8">
        <v>9.0399999999999991</v>
      </c>
      <c r="G1358" s="4">
        <v>9</v>
      </c>
      <c r="H1358" s="8">
        <v>6.82</v>
      </c>
      <c r="I1358" s="4">
        <v>0</v>
      </c>
    </row>
    <row r="1359" spans="1:9" x14ac:dyDescent="0.2">
      <c r="A1359" s="2">
        <v>5</v>
      </c>
      <c r="B1359" s="1" t="s">
        <v>84</v>
      </c>
      <c r="C1359" s="4">
        <v>20</v>
      </c>
      <c r="D1359" s="8">
        <v>6.41</v>
      </c>
      <c r="E1359" s="4">
        <v>8</v>
      </c>
      <c r="F1359" s="8">
        <v>4.5199999999999996</v>
      </c>
      <c r="G1359" s="4">
        <v>12</v>
      </c>
      <c r="H1359" s="8">
        <v>9.09</v>
      </c>
      <c r="I1359" s="4">
        <v>0</v>
      </c>
    </row>
    <row r="1360" spans="1:9" x14ac:dyDescent="0.2">
      <c r="A1360" s="2">
        <v>5</v>
      </c>
      <c r="B1360" s="1" t="s">
        <v>90</v>
      </c>
      <c r="C1360" s="4">
        <v>20</v>
      </c>
      <c r="D1360" s="8">
        <v>6.41</v>
      </c>
      <c r="E1360" s="4">
        <v>10</v>
      </c>
      <c r="F1360" s="8">
        <v>5.65</v>
      </c>
      <c r="G1360" s="4">
        <v>10</v>
      </c>
      <c r="H1360" s="8">
        <v>7.58</v>
      </c>
      <c r="I1360" s="4">
        <v>0</v>
      </c>
    </row>
    <row r="1361" spans="1:9" x14ac:dyDescent="0.2">
      <c r="A1361" s="2">
        <v>7</v>
      </c>
      <c r="B1361" s="1" t="s">
        <v>86</v>
      </c>
      <c r="C1361" s="4">
        <v>12</v>
      </c>
      <c r="D1361" s="8">
        <v>3.85</v>
      </c>
      <c r="E1361" s="4">
        <v>8</v>
      </c>
      <c r="F1361" s="8">
        <v>4.5199999999999996</v>
      </c>
      <c r="G1361" s="4">
        <v>4</v>
      </c>
      <c r="H1361" s="8">
        <v>3.03</v>
      </c>
      <c r="I1361" s="4">
        <v>0</v>
      </c>
    </row>
    <row r="1362" spans="1:9" x14ac:dyDescent="0.2">
      <c r="A1362" s="2">
        <v>7</v>
      </c>
      <c r="B1362" s="1" t="s">
        <v>91</v>
      </c>
      <c r="C1362" s="4">
        <v>12</v>
      </c>
      <c r="D1362" s="8">
        <v>3.85</v>
      </c>
      <c r="E1362" s="4">
        <v>5</v>
      </c>
      <c r="F1362" s="8">
        <v>2.82</v>
      </c>
      <c r="G1362" s="4">
        <v>7</v>
      </c>
      <c r="H1362" s="8">
        <v>5.3</v>
      </c>
      <c r="I1362" s="4">
        <v>0</v>
      </c>
    </row>
    <row r="1363" spans="1:9" x14ac:dyDescent="0.2">
      <c r="A1363" s="2">
        <v>9</v>
      </c>
      <c r="B1363" s="1" t="s">
        <v>103</v>
      </c>
      <c r="C1363" s="4">
        <v>8</v>
      </c>
      <c r="D1363" s="8">
        <v>2.56</v>
      </c>
      <c r="E1363" s="4">
        <v>5</v>
      </c>
      <c r="F1363" s="8">
        <v>2.82</v>
      </c>
      <c r="G1363" s="4">
        <v>3</v>
      </c>
      <c r="H1363" s="8">
        <v>2.27</v>
      </c>
      <c r="I1363" s="4">
        <v>0</v>
      </c>
    </row>
    <row r="1364" spans="1:9" x14ac:dyDescent="0.2">
      <c r="A1364" s="2">
        <v>10</v>
      </c>
      <c r="B1364" s="1" t="s">
        <v>110</v>
      </c>
      <c r="C1364" s="4">
        <v>7</v>
      </c>
      <c r="D1364" s="8">
        <v>2.2400000000000002</v>
      </c>
      <c r="E1364" s="4">
        <v>4</v>
      </c>
      <c r="F1364" s="8">
        <v>2.2599999999999998</v>
      </c>
      <c r="G1364" s="4">
        <v>3</v>
      </c>
      <c r="H1364" s="8">
        <v>2.27</v>
      </c>
      <c r="I1364" s="4">
        <v>0</v>
      </c>
    </row>
    <row r="1365" spans="1:9" x14ac:dyDescent="0.2">
      <c r="A1365" s="2">
        <v>10</v>
      </c>
      <c r="B1365" s="1" t="s">
        <v>106</v>
      </c>
      <c r="C1365" s="4">
        <v>7</v>
      </c>
      <c r="D1365" s="8">
        <v>2.2400000000000002</v>
      </c>
      <c r="E1365" s="4">
        <v>1</v>
      </c>
      <c r="F1365" s="8">
        <v>0.56000000000000005</v>
      </c>
      <c r="G1365" s="4">
        <v>6</v>
      </c>
      <c r="H1365" s="8">
        <v>4.55</v>
      </c>
      <c r="I1365" s="4">
        <v>0</v>
      </c>
    </row>
    <row r="1366" spans="1:9" x14ac:dyDescent="0.2">
      <c r="A1366" s="2">
        <v>12</v>
      </c>
      <c r="B1366" s="1" t="s">
        <v>141</v>
      </c>
      <c r="C1366" s="4">
        <v>6</v>
      </c>
      <c r="D1366" s="8">
        <v>1.92</v>
      </c>
      <c r="E1366" s="4">
        <v>1</v>
      </c>
      <c r="F1366" s="8">
        <v>0.56000000000000005</v>
      </c>
      <c r="G1366" s="4">
        <v>5</v>
      </c>
      <c r="H1366" s="8">
        <v>3.79</v>
      </c>
      <c r="I1366" s="4">
        <v>0</v>
      </c>
    </row>
    <row r="1367" spans="1:9" x14ac:dyDescent="0.2">
      <c r="A1367" s="2">
        <v>12</v>
      </c>
      <c r="B1367" s="1" t="s">
        <v>94</v>
      </c>
      <c r="C1367" s="4">
        <v>6</v>
      </c>
      <c r="D1367" s="8">
        <v>1.92</v>
      </c>
      <c r="E1367" s="4">
        <v>3</v>
      </c>
      <c r="F1367" s="8">
        <v>1.69</v>
      </c>
      <c r="G1367" s="4">
        <v>3</v>
      </c>
      <c r="H1367" s="8">
        <v>2.27</v>
      </c>
      <c r="I1367" s="4">
        <v>0</v>
      </c>
    </row>
    <row r="1368" spans="1:9" x14ac:dyDescent="0.2">
      <c r="A1368" s="2">
        <v>14</v>
      </c>
      <c r="B1368" s="1" t="s">
        <v>126</v>
      </c>
      <c r="C1368" s="4">
        <v>5</v>
      </c>
      <c r="D1368" s="8">
        <v>1.6</v>
      </c>
      <c r="E1368" s="4">
        <v>3</v>
      </c>
      <c r="F1368" s="8">
        <v>1.69</v>
      </c>
      <c r="G1368" s="4">
        <v>2</v>
      </c>
      <c r="H1368" s="8">
        <v>1.52</v>
      </c>
      <c r="I1368" s="4">
        <v>0</v>
      </c>
    </row>
    <row r="1369" spans="1:9" x14ac:dyDescent="0.2">
      <c r="A1369" s="2">
        <v>14</v>
      </c>
      <c r="B1369" s="1" t="s">
        <v>87</v>
      </c>
      <c r="C1369" s="4">
        <v>5</v>
      </c>
      <c r="D1369" s="8">
        <v>1.6</v>
      </c>
      <c r="E1369" s="4">
        <v>0</v>
      </c>
      <c r="F1369" s="8">
        <v>0</v>
      </c>
      <c r="G1369" s="4">
        <v>5</v>
      </c>
      <c r="H1369" s="8">
        <v>3.79</v>
      </c>
      <c r="I1369" s="4">
        <v>0</v>
      </c>
    </row>
    <row r="1370" spans="1:9" x14ac:dyDescent="0.2">
      <c r="A1370" s="2">
        <v>14</v>
      </c>
      <c r="B1370" s="1" t="s">
        <v>111</v>
      </c>
      <c r="C1370" s="4">
        <v>5</v>
      </c>
      <c r="D1370" s="8">
        <v>1.6</v>
      </c>
      <c r="E1370" s="4">
        <v>3</v>
      </c>
      <c r="F1370" s="8">
        <v>1.69</v>
      </c>
      <c r="G1370" s="4">
        <v>2</v>
      </c>
      <c r="H1370" s="8">
        <v>1.52</v>
      </c>
      <c r="I1370" s="4">
        <v>0</v>
      </c>
    </row>
    <row r="1371" spans="1:9" x14ac:dyDescent="0.2">
      <c r="A1371" s="2">
        <v>14</v>
      </c>
      <c r="B1371" s="1" t="s">
        <v>101</v>
      </c>
      <c r="C1371" s="4">
        <v>5</v>
      </c>
      <c r="D1371" s="8">
        <v>1.6</v>
      </c>
      <c r="E1371" s="4">
        <v>4</v>
      </c>
      <c r="F1371" s="8">
        <v>2.2599999999999998</v>
      </c>
      <c r="G1371" s="4">
        <v>1</v>
      </c>
      <c r="H1371" s="8">
        <v>0.76</v>
      </c>
      <c r="I1371" s="4">
        <v>0</v>
      </c>
    </row>
    <row r="1372" spans="1:9" x14ac:dyDescent="0.2">
      <c r="A1372" s="2">
        <v>18</v>
      </c>
      <c r="B1372" s="1" t="s">
        <v>120</v>
      </c>
      <c r="C1372" s="4">
        <v>4</v>
      </c>
      <c r="D1372" s="8">
        <v>1.28</v>
      </c>
      <c r="E1372" s="4">
        <v>1</v>
      </c>
      <c r="F1372" s="8">
        <v>0.56000000000000005</v>
      </c>
      <c r="G1372" s="4">
        <v>3</v>
      </c>
      <c r="H1372" s="8">
        <v>2.27</v>
      </c>
      <c r="I1372" s="4">
        <v>0</v>
      </c>
    </row>
    <row r="1373" spans="1:9" x14ac:dyDescent="0.2">
      <c r="A1373" s="2">
        <v>18</v>
      </c>
      <c r="B1373" s="1" t="s">
        <v>112</v>
      </c>
      <c r="C1373" s="4">
        <v>4</v>
      </c>
      <c r="D1373" s="8">
        <v>1.28</v>
      </c>
      <c r="E1373" s="4">
        <v>0</v>
      </c>
      <c r="F1373" s="8">
        <v>0</v>
      </c>
      <c r="G1373" s="4">
        <v>3</v>
      </c>
      <c r="H1373" s="8">
        <v>2.27</v>
      </c>
      <c r="I1373" s="4">
        <v>0</v>
      </c>
    </row>
    <row r="1374" spans="1:9" x14ac:dyDescent="0.2">
      <c r="A1374" s="2">
        <v>18</v>
      </c>
      <c r="B1374" s="1" t="s">
        <v>100</v>
      </c>
      <c r="C1374" s="4">
        <v>4</v>
      </c>
      <c r="D1374" s="8">
        <v>1.28</v>
      </c>
      <c r="E1374" s="4">
        <v>3</v>
      </c>
      <c r="F1374" s="8">
        <v>1.69</v>
      </c>
      <c r="G1374" s="4">
        <v>0</v>
      </c>
      <c r="H1374" s="8">
        <v>0</v>
      </c>
      <c r="I1374" s="4">
        <v>0</v>
      </c>
    </row>
    <row r="1375" spans="1:9" x14ac:dyDescent="0.2">
      <c r="A1375" s="1"/>
      <c r="C1375" s="4"/>
      <c r="D1375" s="8"/>
      <c r="E1375" s="4"/>
      <c r="F1375" s="8"/>
      <c r="G1375" s="4"/>
      <c r="H1375" s="8"/>
      <c r="I1375" s="4"/>
    </row>
    <row r="1376" spans="1:9" x14ac:dyDescent="0.2">
      <c r="A1376" s="1" t="s">
        <v>59</v>
      </c>
      <c r="C1376" s="4"/>
      <c r="D1376" s="8"/>
      <c r="E1376" s="4"/>
      <c r="F1376" s="8"/>
      <c r="G1376" s="4"/>
      <c r="H1376" s="8"/>
      <c r="I1376" s="4"/>
    </row>
    <row r="1377" spans="1:9" x14ac:dyDescent="0.2">
      <c r="A1377" s="2">
        <v>1</v>
      </c>
      <c r="B1377" s="1" t="s">
        <v>97</v>
      </c>
      <c r="C1377" s="4">
        <v>27</v>
      </c>
      <c r="D1377" s="8">
        <v>11.89</v>
      </c>
      <c r="E1377" s="4">
        <v>22</v>
      </c>
      <c r="F1377" s="8">
        <v>15.49</v>
      </c>
      <c r="G1377" s="4">
        <v>5</v>
      </c>
      <c r="H1377" s="8">
        <v>6.17</v>
      </c>
      <c r="I1377" s="4">
        <v>0</v>
      </c>
    </row>
    <row r="1378" spans="1:9" x14ac:dyDescent="0.2">
      <c r="A1378" s="2">
        <v>2</v>
      </c>
      <c r="B1378" s="1" t="s">
        <v>98</v>
      </c>
      <c r="C1378" s="4">
        <v>25</v>
      </c>
      <c r="D1378" s="8">
        <v>11.01</v>
      </c>
      <c r="E1378" s="4">
        <v>25</v>
      </c>
      <c r="F1378" s="8">
        <v>17.61</v>
      </c>
      <c r="G1378" s="4">
        <v>0</v>
      </c>
      <c r="H1378" s="8">
        <v>0</v>
      </c>
      <c r="I1378" s="4">
        <v>0</v>
      </c>
    </row>
    <row r="1379" spans="1:9" x14ac:dyDescent="0.2">
      <c r="A1379" s="2">
        <v>3</v>
      </c>
      <c r="B1379" s="1" t="s">
        <v>111</v>
      </c>
      <c r="C1379" s="4">
        <v>22</v>
      </c>
      <c r="D1379" s="8">
        <v>9.69</v>
      </c>
      <c r="E1379" s="4">
        <v>16</v>
      </c>
      <c r="F1379" s="8">
        <v>11.27</v>
      </c>
      <c r="G1379" s="4">
        <v>6</v>
      </c>
      <c r="H1379" s="8">
        <v>7.41</v>
      </c>
      <c r="I1379" s="4">
        <v>0</v>
      </c>
    </row>
    <row r="1380" spans="1:9" x14ac:dyDescent="0.2">
      <c r="A1380" s="2">
        <v>4</v>
      </c>
      <c r="B1380" s="1" t="s">
        <v>84</v>
      </c>
      <c r="C1380" s="4">
        <v>16</v>
      </c>
      <c r="D1380" s="8">
        <v>7.05</v>
      </c>
      <c r="E1380" s="4">
        <v>5</v>
      </c>
      <c r="F1380" s="8">
        <v>3.52</v>
      </c>
      <c r="G1380" s="4">
        <v>11</v>
      </c>
      <c r="H1380" s="8">
        <v>13.58</v>
      </c>
      <c r="I1380" s="4">
        <v>0</v>
      </c>
    </row>
    <row r="1381" spans="1:9" x14ac:dyDescent="0.2">
      <c r="A1381" s="2">
        <v>5</v>
      </c>
      <c r="B1381" s="1" t="s">
        <v>92</v>
      </c>
      <c r="C1381" s="4">
        <v>15</v>
      </c>
      <c r="D1381" s="8">
        <v>6.61</v>
      </c>
      <c r="E1381" s="4">
        <v>9</v>
      </c>
      <c r="F1381" s="8">
        <v>6.34</v>
      </c>
      <c r="G1381" s="4">
        <v>6</v>
      </c>
      <c r="H1381" s="8">
        <v>7.41</v>
      </c>
      <c r="I1381" s="4">
        <v>0</v>
      </c>
    </row>
    <row r="1382" spans="1:9" x14ac:dyDescent="0.2">
      <c r="A1382" s="2">
        <v>6</v>
      </c>
      <c r="B1382" s="1" t="s">
        <v>90</v>
      </c>
      <c r="C1382" s="4">
        <v>14</v>
      </c>
      <c r="D1382" s="8">
        <v>6.17</v>
      </c>
      <c r="E1382" s="4">
        <v>11</v>
      </c>
      <c r="F1382" s="8">
        <v>7.75</v>
      </c>
      <c r="G1382" s="4">
        <v>3</v>
      </c>
      <c r="H1382" s="8">
        <v>3.7</v>
      </c>
      <c r="I1382" s="4">
        <v>0</v>
      </c>
    </row>
    <row r="1383" spans="1:9" x14ac:dyDescent="0.2">
      <c r="A1383" s="2">
        <v>7</v>
      </c>
      <c r="B1383" s="1" t="s">
        <v>94</v>
      </c>
      <c r="C1383" s="4">
        <v>11</v>
      </c>
      <c r="D1383" s="8">
        <v>4.8499999999999996</v>
      </c>
      <c r="E1383" s="4">
        <v>4</v>
      </c>
      <c r="F1383" s="8">
        <v>2.82</v>
      </c>
      <c r="G1383" s="4">
        <v>7</v>
      </c>
      <c r="H1383" s="8">
        <v>8.64</v>
      </c>
      <c r="I1383" s="4">
        <v>0</v>
      </c>
    </row>
    <row r="1384" spans="1:9" x14ac:dyDescent="0.2">
      <c r="A1384" s="2">
        <v>8</v>
      </c>
      <c r="B1384" s="1" t="s">
        <v>85</v>
      </c>
      <c r="C1384" s="4">
        <v>9</v>
      </c>
      <c r="D1384" s="8">
        <v>3.96</v>
      </c>
      <c r="E1384" s="4">
        <v>5</v>
      </c>
      <c r="F1384" s="8">
        <v>3.52</v>
      </c>
      <c r="G1384" s="4">
        <v>4</v>
      </c>
      <c r="H1384" s="8">
        <v>4.9400000000000004</v>
      </c>
      <c r="I1384" s="4">
        <v>0</v>
      </c>
    </row>
    <row r="1385" spans="1:9" x14ac:dyDescent="0.2">
      <c r="A1385" s="2">
        <v>9</v>
      </c>
      <c r="B1385" s="1" t="s">
        <v>91</v>
      </c>
      <c r="C1385" s="4">
        <v>8</v>
      </c>
      <c r="D1385" s="8">
        <v>3.52</v>
      </c>
      <c r="E1385" s="4">
        <v>3</v>
      </c>
      <c r="F1385" s="8">
        <v>2.11</v>
      </c>
      <c r="G1385" s="4">
        <v>5</v>
      </c>
      <c r="H1385" s="8">
        <v>6.17</v>
      </c>
      <c r="I1385" s="4">
        <v>0</v>
      </c>
    </row>
    <row r="1386" spans="1:9" x14ac:dyDescent="0.2">
      <c r="A1386" s="2">
        <v>10</v>
      </c>
      <c r="B1386" s="1" t="s">
        <v>112</v>
      </c>
      <c r="C1386" s="4">
        <v>7</v>
      </c>
      <c r="D1386" s="8">
        <v>3.08</v>
      </c>
      <c r="E1386" s="4">
        <v>6</v>
      </c>
      <c r="F1386" s="8">
        <v>4.2300000000000004</v>
      </c>
      <c r="G1386" s="4">
        <v>0</v>
      </c>
      <c r="H1386" s="8">
        <v>0</v>
      </c>
      <c r="I1386" s="4">
        <v>0</v>
      </c>
    </row>
    <row r="1387" spans="1:9" x14ac:dyDescent="0.2">
      <c r="A1387" s="2">
        <v>11</v>
      </c>
      <c r="B1387" s="1" t="s">
        <v>86</v>
      </c>
      <c r="C1387" s="4">
        <v>6</v>
      </c>
      <c r="D1387" s="8">
        <v>2.64</v>
      </c>
      <c r="E1387" s="4">
        <v>3</v>
      </c>
      <c r="F1387" s="8">
        <v>2.11</v>
      </c>
      <c r="G1387" s="4">
        <v>3</v>
      </c>
      <c r="H1387" s="8">
        <v>3.7</v>
      </c>
      <c r="I1387" s="4">
        <v>0</v>
      </c>
    </row>
    <row r="1388" spans="1:9" x14ac:dyDescent="0.2">
      <c r="A1388" s="2">
        <v>11</v>
      </c>
      <c r="B1388" s="1" t="s">
        <v>100</v>
      </c>
      <c r="C1388" s="4">
        <v>6</v>
      </c>
      <c r="D1388" s="8">
        <v>2.64</v>
      </c>
      <c r="E1388" s="4">
        <v>2</v>
      </c>
      <c r="F1388" s="8">
        <v>1.41</v>
      </c>
      <c r="G1388" s="4">
        <v>2</v>
      </c>
      <c r="H1388" s="8">
        <v>2.4700000000000002</v>
      </c>
      <c r="I1388" s="4">
        <v>0</v>
      </c>
    </row>
    <row r="1389" spans="1:9" x14ac:dyDescent="0.2">
      <c r="A1389" s="2">
        <v>11</v>
      </c>
      <c r="B1389" s="1" t="s">
        <v>101</v>
      </c>
      <c r="C1389" s="4">
        <v>6</v>
      </c>
      <c r="D1389" s="8">
        <v>2.64</v>
      </c>
      <c r="E1389" s="4">
        <v>6</v>
      </c>
      <c r="F1389" s="8">
        <v>4.2300000000000004</v>
      </c>
      <c r="G1389" s="4">
        <v>0</v>
      </c>
      <c r="H1389" s="8">
        <v>0</v>
      </c>
      <c r="I1389" s="4">
        <v>0</v>
      </c>
    </row>
    <row r="1390" spans="1:9" x14ac:dyDescent="0.2">
      <c r="A1390" s="2">
        <v>14</v>
      </c>
      <c r="B1390" s="1" t="s">
        <v>95</v>
      </c>
      <c r="C1390" s="4">
        <v>5</v>
      </c>
      <c r="D1390" s="8">
        <v>2.2000000000000002</v>
      </c>
      <c r="E1390" s="4">
        <v>2</v>
      </c>
      <c r="F1390" s="8">
        <v>1.41</v>
      </c>
      <c r="G1390" s="4">
        <v>3</v>
      </c>
      <c r="H1390" s="8">
        <v>3.7</v>
      </c>
      <c r="I1390" s="4">
        <v>0</v>
      </c>
    </row>
    <row r="1391" spans="1:9" x14ac:dyDescent="0.2">
      <c r="A1391" s="2">
        <v>15</v>
      </c>
      <c r="B1391" s="1" t="s">
        <v>109</v>
      </c>
      <c r="C1391" s="4">
        <v>4</v>
      </c>
      <c r="D1391" s="8">
        <v>1.76</v>
      </c>
      <c r="E1391" s="4">
        <v>2</v>
      </c>
      <c r="F1391" s="8">
        <v>1.41</v>
      </c>
      <c r="G1391" s="4">
        <v>2</v>
      </c>
      <c r="H1391" s="8">
        <v>2.4700000000000002</v>
      </c>
      <c r="I1391" s="4">
        <v>0</v>
      </c>
    </row>
    <row r="1392" spans="1:9" x14ac:dyDescent="0.2">
      <c r="A1392" s="2">
        <v>15</v>
      </c>
      <c r="B1392" s="1" t="s">
        <v>93</v>
      </c>
      <c r="C1392" s="4">
        <v>4</v>
      </c>
      <c r="D1392" s="8">
        <v>1.76</v>
      </c>
      <c r="E1392" s="4">
        <v>0</v>
      </c>
      <c r="F1392" s="8">
        <v>0</v>
      </c>
      <c r="G1392" s="4">
        <v>4</v>
      </c>
      <c r="H1392" s="8">
        <v>4.9400000000000004</v>
      </c>
      <c r="I1392" s="4">
        <v>0</v>
      </c>
    </row>
    <row r="1393" spans="1:9" x14ac:dyDescent="0.2">
      <c r="A1393" s="2">
        <v>15</v>
      </c>
      <c r="B1393" s="1" t="s">
        <v>103</v>
      </c>
      <c r="C1393" s="4">
        <v>4</v>
      </c>
      <c r="D1393" s="8">
        <v>1.76</v>
      </c>
      <c r="E1393" s="4">
        <v>3</v>
      </c>
      <c r="F1393" s="8">
        <v>2.11</v>
      </c>
      <c r="G1393" s="4">
        <v>1</v>
      </c>
      <c r="H1393" s="8">
        <v>1.23</v>
      </c>
      <c r="I1393" s="4">
        <v>0</v>
      </c>
    </row>
    <row r="1394" spans="1:9" x14ac:dyDescent="0.2">
      <c r="A1394" s="2">
        <v>18</v>
      </c>
      <c r="B1394" s="1" t="s">
        <v>132</v>
      </c>
      <c r="C1394" s="4">
        <v>2</v>
      </c>
      <c r="D1394" s="8">
        <v>0.88</v>
      </c>
      <c r="E1394" s="4">
        <v>1</v>
      </c>
      <c r="F1394" s="8">
        <v>0.7</v>
      </c>
      <c r="G1394" s="4">
        <v>1</v>
      </c>
      <c r="H1394" s="8">
        <v>1.23</v>
      </c>
      <c r="I1394" s="4">
        <v>0</v>
      </c>
    </row>
    <row r="1395" spans="1:9" x14ac:dyDescent="0.2">
      <c r="A1395" s="2">
        <v>18</v>
      </c>
      <c r="B1395" s="1" t="s">
        <v>124</v>
      </c>
      <c r="C1395" s="4">
        <v>2</v>
      </c>
      <c r="D1395" s="8">
        <v>0.88</v>
      </c>
      <c r="E1395" s="4">
        <v>1</v>
      </c>
      <c r="F1395" s="8">
        <v>0.7</v>
      </c>
      <c r="G1395" s="4">
        <v>1</v>
      </c>
      <c r="H1395" s="8">
        <v>1.23</v>
      </c>
      <c r="I1395" s="4">
        <v>0</v>
      </c>
    </row>
    <row r="1396" spans="1:9" x14ac:dyDescent="0.2">
      <c r="A1396" s="2">
        <v>18</v>
      </c>
      <c r="B1396" s="1" t="s">
        <v>117</v>
      </c>
      <c r="C1396" s="4">
        <v>2</v>
      </c>
      <c r="D1396" s="8">
        <v>0.88</v>
      </c>
      <c r="E1396" s="4">
        <v>2</v>
      </c>
      <c r="F1396" s="8">
        <v>1.41</v>
      </c>
      <c r="G1396" s="4">
        <v>0</v>
      </c>
      <c r="H1396" s="8">
        <v>0</v>
      </c>
      <c r="I1396" s="4">
        <v>0</v>
      </c>
    </row>
    <row r="1397" spans="1:9" x14ac:dyDescent="0.2">
      <c r="A1397" s="2">
        <v>18</v>
      </c>
      <c r="B1397" s="1" t="s">
        <v>129</v>
      </c>
      <c r="C1397" s="4">
        <v>2</v>
      </c>
      <c r="D1397" s="8">
        <v>0.88</v>
      </c>
      <c r="E1397" s="4">
        <v>1</v>
      </c>
      <c r="F1397" s="8">
        <v>0.7</v>
      </c>
      <c r="G1397" s="4">
        <v>1</v>
      </c>
      <c r="H1397" s="8">
        <v>1.23</v>
      </c>
      <c r="I1397" s="4">
        <v>0</v>
      </c>
    </row>
    <row r="1398" spans="1:9" x14ac:dyDescent="0.2">
      <c r="A1398" s="2">
        <v>18</v>
      </c>
      <c r="B1398" s="1" t="s">
        <v>119</v>
      </c>
      <c r="C1398" s="4">
        <v>2</v>
      </c>
      <c r="D1398" s="8">
        <v>0.88</v>
      </c>
      <c r="E1398" s="4">
        <v>1</v>
      </c>
      <c r="F1398" s="8">
        <v>0.7</v>
      </c>
      <c r="G1398" s="4">
        <v>1</v>
      </c>
      <c r="H1398" s="8">
        <v>1.23</v>
      </c>
      <c r="I1398" s="4">
        <v>0</v>
      </c>
    </row>
    <row r="1399" spans="1:9" x14ac:dyDescent="0.2">
      <c r="A1399" s="2">
        <v>18</v>
      </c>
      <c r="B1399" s="1" t="s">
        <v>108</v>
      </c>
      <c r="C1399" s="4">
        <v>2</v>
      </c>
      <c r="D1399" s="8">
        <v>0.88</v>
      </c>
      <c r="E1399" s="4">
        <v>0</v>
      </c>
      <c r="F1399" s="8">
        <v>0</v>
      </c>
      <c r="G1399" s="4">
        <v>2</v>
      </c>
      <c r="H1399" s="8">
        <v>2.4700000000000002</v>
      </c>
      <c r="I1399" s="4">
        <v>0</v>
      </c>
    </row>
    <row r="1400" spans="1:9" x14ac:dyDescent="0.2">
      <c r="A1400" s="2">
        <v>18</v>
      </c>
      <c r="B1400" s="1" t="s">
        <v>143</v>
      </c>
      <c r="C1400" s="4">
        <v>2</v>
      </c>
      <c r="D1400" s="8">
        <v>0.88</v>
      </c>
      <c r="E1400" s="4">
        <v>1</v>
      </c>
      <c r="F1400" s="8">
        <v>0.7</v>
      </c>
      <c r="G1400" s="4">
        <v>1</v>
      </c>
      <c r="H1400" s="8">
        <v>1.23</v>
      </c>
      <c r="I1400" s="4">
        <v>0</v>
      </c>
    </row>
    <row r="1401" spans="1:9" x14ac:dyDescent="0.2">
      <c r="A1401" s="2">
        <v>18</v>
      </c>
      <c r="B1401" s="1" t="s">
        <v>87</v>
      </c>
      <c r="C1401" s="4">
        <v>2</v>
      </c>
      <c r="D1401" s="8">
        <v>0.88</v>
      </c>
      <c r="E1401" s="4">
        <v>0</v>
      </c>
      <c r="F1401" s="8">
        <v>0</v>
      </c>
      <c r="G1401" s="4">
        <v>2</v>
      </c>
      <c r="H1401" s="8">
        <v>2.4700000000000002</v>
      </c>
      <c r="I1401" s="4">
        <v>0</v>
      </c>
    </row>
    <row r="1402" spans="1:9" x14ac:dyDescent="0.2">
      <c r="A1402" s="2">
        <v>18</v>
      </c>
      <c r="B1402" s="1" t="s">
        <v>89</v>
      </c>
      <c r="C1402" s="4">
        <v>2</v>
      </c>
      <c r="D1402" s="8">
        <v>0.88</v>
      </c>
      <c r="E1402" s="4">
        <v>2</v>
      </c>
      <c r="F1402" s="8">
        <v>1.41</v>
      </c>
      <c r="G1402" s="4">
        <v>0</v>
      </c>
      <c r="H1402" s="8">
        <v>0</v>
      </c>
      <c r="I1402" s="4">
        <v>0</v>
      </c>
    </row>
    <row r="1403" spans="1:9" x14ac:dyDescent="0.2">
      <c r="A1403" s="2">
        <v>18</v>
      </c>
      <c r="B1403" s="1" t="s">
        <v>96</v>
      </c>
      <c r="C1403" s="4">
        <v>2</v>
      </c>
      <c r="D1403" s="8">
        <v>0.88</v>
      </c>
      <c r="E1403" s="4">
        <v>0</v>
      </c>
      <c r="F1403" s="8">
        <v>0</v>
      </c>
      <c r="G1403" s="4">
        <v>2</v>
      </c>
      <c r="H1403" s="8">
        <v>2.4700000000000002</v>
      </c>
      <c r="I1403" s="4">
        <v>0</v>
      </c>
    </row>
    <row r="1404" spans="1:9" x14ac:dyDescent="0.2">
      <c r="A1404" s="2">
        <v>18</v>
      </c>
      <c r="B1404" s="1" t="s">
        <v>99</v>
      </c>
      <c r="C1404" s="4">
        <v>2</v>
      </c>
      <c r="D1404" s="8">
        <v>0.88</v>
      </c>
      <c r="E1404" s="4">
        <v>2</v>
      </c>
      <c r="F1404" s="8">
        <v>1.41</v>
      </c>
      <c r="G1404" s="4">
        <v>0</v>
      </c>
      <c r="H1404" s="8">
        <v>0</v>
      </c>
      <c r="I1404" s="4">
        <v>0</v>
      </c>
    </row>
    <row r="1405" spans="1:9" x14ac:dyDescent="0.2">
      <c r="A1405" s="1"/>
      <c r="C1405" s="4"/>
      <c r="D1405" s="8"/>
      <c r="E1405" s="4"/>
      <c r="F1405" s="8"/>
      <c r="G1405" s="4"/>
      <c r="H1405" s="8"/>
      <c r="I1405" s="4"/>
    </row>
    <row r="1406" spans="1:9" x14ac:dyDescent="0.2">
      <c r="A1406" s="1" t="s">
        <v>60</v>
      </c>
      <c r="C1406" s="4"/>
      <c r="D1406" s="8"/>
      <c r="E1406" s="4"/>
      <c r="F1406" s="8"/>
      <c r="G1406" s="4"/>
      <c r="H1406" s="8"/>
      <c r="I1406" s="4"/>
    </row>
    <row r="1407" spans="1:9" x14ac:dyDescent="0.2">
      <c r="A1407" s="2">
        <v>1</v>
      </c>
      <c r="B1407" s="1" t="s">
        <v>97</v>
      </c>
      <c r="C1407" s="4">
        <v>41</v>
      </c>
      <c r="D1407" s="8">
        <v>17.23</v>
      </c>
      <c r="E1407" s="4">
        <v>36</v>
      </c>
      <c r="F1407" s="8">
        <v>24.16</v>
      </c>
      <c r="G1407" s="4">
        <v>5</v>
      </c>
      <c r="H1407" s="8">
        <v>6.02</v>
      </c>
      <c r="I1407" s="4">
        <v>0</v>
      </c>
    </row>
    <row r="1408" spans="1:9" x14ac:dyDescent="0.2">
      <c r="A1408" s="2">
        <v>2</v>
      </c>
      <c r="B1408" s="1" t="s">
        <v>90</v>
      </c>
      <c r="C1408" s="4">
        <v>29</v>
      </c>
      <c r="D1408" s="8">
        <v>12.18</v>
      </c>
      <c r="E1408" s="4">
        <v>22</v>
      </c>
      <c r="F1408" s="8">
        <v>14.77</v>
      </c>
      <c r="G1408" s="4">
        <v>7</v>
      </c>
      <c r="H1408" s="8">
        <v>8.43</v>
      </c>
      <c r="I1408" s="4">
        <v>0</v>
      </c>
    </row>
    <row r="1409" spans="1:9" x14ac:dyDescent="0.2">
      <c r="A1409" s="2">
        <v>3</v>
      </c>
      <c r="B1409" s="1" t="s">
        <v>98</v>
      </c>
      <c r="C1409" s="4">
        <v>24</v>
      </c>
      <c r="D1409" s="8">
        <v>10.08</v>
      </c>
      <c r="E1409" s="4">
        <v>22</v>
      </c>
      <c r="F1409" s="8">
        <v>14.77</v>
      </c>
      <c r="G1409" s="4">
        <v>2</v>
      </c>
      <c r="H1409" s="8">
        <v>2.41</v>
      </c>
      <c r="I1409" s="4">
        <v>0</v>
      </c>
    </row>
    <row r="1410" spans="1:9" x14ac:dyDescent="0.2">
      <c r="A1410" s="2">
        <v>4</v>
      </c>
      <c r="B1410" s="1" t="s">
        <v>84</v>
      </c>
      <c r="C1410" s="4">
        <v>17</v>
      </c>
      <c r="D1410" s="8">
        <v>7.14</v>
      </c>
      <c r="E1410" s="4">
        <v>7</v>
      </c>
      <c r="F1410" s="8">
        <v>4.7</v>
      </c>
      <c r="G1410" s="4">
        <v>10</v>
      </c>
      <c r="H1410" s="8">
        <v>12.05</v>
      </c>
      <c r="I1410" s="4">
        <v>0</v>
      </c>
    </row>
    <row r="1411" spans="1:9" x14ac:dyDescent="0.2">
      <c r="A1411" s="2">
        <v>4</v>
      </c>
      <c r="B1411" s="1" t="s">
        <v>85</v>
      </c>
      <c r="C1411" s="4">
        <v>17</v>
      </c>
      <c r="D1411" s="8">
        <v>7.14</v>
      </c>
      <c r="E1411" s="4">
        <v>12</v>
      </c>
      <c r="F1411" s="8">
        <v>8.0500000000000007</v>
      </c>
      <c r="G1411" s="4">
        <v>5</v>
      </c>
      <c r="H1411" s="8">
        <v>6.02</v>
      </c>
      <c r="I1411" s="4">
        <v>0</v>
      </c>
    </row>
    <row r="1412" spans="1:9" x14ac:dyDescent="0.2">
      <c r="A1412" s="2">
        <v>6</v>
      </c>
      <c r="B1412" s="1" t="s">
        <v>92</v>
      </c>
      <c r="C1412" s="4">
        <v>13</v>
      </c>
      <c r="D1412" s="8">
        <v>5.46</v>
      </c>
      <c r="E1412" s="4">
        <v>10</v>
      </c>
      <c r="F1412" s="8">
        <v>6.71</v>
      </c>
      <c r="G1412" s="4">
        <v>3</v>
      </c>
      <c r="H1412" s="8">
        <v>3.61</v>
      </c>
      <c r="I1412" s="4">
        <v>0</v>
      </c>
    </row>
    <row r="1413" spans="1:9" x14ac:dyDescent="0.2">
      <c r="A1413" s="2">
        <v>7</v>
      </c>
      <c r="B1413" s="1" t="s">
        <v>111</v>
      </c>
      <c r="C1413" s="4">
        <v>7</v>
      </c>
      <c r="D1413" s="8">
        <v>2.94</v>
      </c>
      <c r="E1413" s="4">
        <v>6</v>
      </c>
      <c r="F1413" s="8">
        <v>4.03</v>
      </c>
      <c r="G1413" s="4">
        <v>1</v>
      </c>
      <c r="H1413" s="8">
        <v>1.2</v>
      </c>
      <c r="I1413" s="4">
        <v>0</v>
      </c>
    </row>
    <row r="1414" spans="1:9" x14ac:dyDescent="0.2">
      <c r="A1414" s="2">
        <v>8</v>
      </c>
      <c r="B1414" s="1" t="s">
        <v>86</v>
      </c>
      <c r="C1414" s="4">
        <v>6</v>
      </c>
      <c r="D1414" s="8">
        <v>2.52</v>
      </c>
      <c r="E1414" s="4">
        <v>4</v>
      </c>
      <c r="F1414" s="8">
        <v>2.68</v>
      </c>
      <c r="G1414" s="4">
        <v>2</v>
      </c>
      <c r="H1414" s="8">
        <v>2.41</v>
      </c>
      <c r="I1414" s="4">
        <v>0</v>
      </c>
    </row>
    <row r="1415" spans="1:9" x14ac:dyDescent="0.2">
      <c r="A1415" s="2">
        <v>8</v>
      </c>
      <c r="B1415" s="1" t="s">
        <v>109</v>
      </c>
      <c r="C1415" s="4">
        <v>6</v>
      </c>
      <c r="D1415" s="8">
        <v>2.52</v>
      </c>
      <c r="E1415" s="4">
        <v>1</v>
      </c>
      <c r="F1415" s="8">
        <v>0.67</v>
      </c>
      <c r="G1415" s="4">
        <v>5</v>
      </c>
      <c r="H1415" s="8">
        <v>6.02</v>
      </c>
      <c r="I1415" s="4">
        <v>0</v>
      </c>
    </row>
    <row r="1416" spans="1:9" x14ac:dyDescent="0.2">
      <c r="A1416" s="2">
        <v>8</v>
      </c>
      <c r="B1416" s="1" t="s">
        <v>87</v>
      </c>
      <c r="C1416" s="4">
        <v>6</v>
      </c>
      <c r="D1416" s="8">
        <v>2.52</v>
      </c>
      <c r="E1416" s="4">
        <v>2</v>
      </c>
      <c r="F1416" s="8">
        <v>1.34</v>
      </c>
      <c r="G1416" s="4">
        <v>4</v>
      </c>
      <c r="H1416" s="8">
        <v>4.82</v>
      </c>
      <c r="I1416" s="4">
        <v>0</v>
      </c>
    </row>
    <row r="1417" spans="1:9" x14ac:dyDescent="0.2">
      <c r="A1417" s="2">
        <v>8</v>
      </c>
      <c r="B1417" s="1" t="s">
        <v>89</v>
      </c>
      <c r="C1417" s="4">
        <v>6</v>
      </c>
      <c r="D1417" s="8">
        <v>2.52</v>
      </c>
      <c r="E1417" s="4">
        <v>3</v>
      </c>
      <c r="F1417" s="8">
        <v>2.0099999999999998</v>
      </c>
      <c r="G1417" s="4">
        <v>3</v>
      </c>
      <c r="H1417" s="8">
        <v>3.61</v>
      </c>
      <c r="I1417" s="4">
        <v>0</v>
      </c>
    </row>
    <row r="1418" spans="1:9" x14ac:dyDescent="0.2">
      <c r="A1418" s="2">
        <v>8</v>
      </c>
      <c r="B1418" s="1" t="s">
        <v>100</v>
      </c>
      <c r="C1418" s="4">
        <v>6</v>
      </c>
      <c r="D1418" s="8">
        <v>2.52</v>
      </c>
      <c r="E1418" s="4">
        <v>4</v>
      </c>
      <c r="F1418" s="8">
        <v>2.68</v>
      </c>
      <c r="G1418" s="4">
        <v>0</v>
      </c>
      <c r="H1418" s="8">
        <v>0</v>
      </c>
      <c r="I1418" s="4">
        <v>0</v>
      </c>
    </row>
    <row r="1419" spans="1:9" x14ac:dyDescent="0.2">
      <c r="A1419" s="2">
        <v>13</v>
      </c>
      <c r="B1419" s="1" t="s">
        <v>102</v>
      </c>
      <c r="C1419" s="4">
        <v>5</v>
      </c>
      <c r="D1419" s="8">
        <v>2.1</v>
      </c>
      <c r="E1419" s="4">
        <v>0</v>
      </c>
      <c r="F1419" s="8">
        <v>0</v>
      </c>
      <c r="G1419" s="4">
        <v>5</v>
      </c>
      <c r="H1419" s="8">
        <v>6.02</v>
      </c>
      <c r="I1419" s="4">
        <v>0</v>
      </c>
    </row>
    <row r="1420" spans="1:9" x14ac:dyDescent="0.2">
      <c r="A1420" s="2">
        <v>13</v>
      </c>
      <c r="B1420" s="1" t="s">
        <v>103</v>
      </c>
      <c r="C1420" s="4">
        <v>5</v>
      </c>
      <c r="D1420" s="8">
        <v>2.1</v>
      </c>
      <c r="E1420" s="4">
        <v>3</v>
      </c>
      <c r="F1420" s="8">
        <v>2.0099999999999998</v>
      </c>
      <c r="G1420" s="4">
        <v>2</v>
      </c>
      <c r="H1420" s="8">
        <v>2.41</v>
      </c>
      <c r="I1420" s="4">
        <v>0</v>
      </c>
    </row>
    <row r="1421" spans="1:9" x14ac:dyDescent="0.2">
      <c r="A1421" s="2">
        <v>15</v>
      </c>
      <c r="B1421" s="1" t="s">
        <v>112</v>
      </c>
      <c r="C1421" s="4">
        <v>4</v>
      </c>
      <c r="D1421" s="8">
        <v>1.68</v>
      </c>
      <c r="E1421" s="4">
        <v>3</v>
      </c>
      <c r="F1421" s="8">
        <v>2.0099999999999998</v>
      </c>
      <c r="G1421" s="4">
        <v>1</v>
      </c>
      <c r="H1421" s="8">
        <v>1.2</v>
      </c>
      <c r="I1421" s="4">
        <v>0</v>
      </c>
    </row>
    <row r="1422" spans="1:9" x14ac:dyDescent="0.2">
      <c r="A1422" s="2">
        <v>15</v>
      </c>
      <c r="B1422" s="1" t="s">
        <v>101</v>
      </c>
      <c r="C1422" s="4">
        <v>4</v>
      </c>
      <c r="D1422" s="8">
        <v>1.68</v>
      </c>
      <c r="E1422" s="4">
        <v>4</v>
      </c>
      <c r="F1422" s="8">
        <v>2.68</v>
      </c>
      <c r="G1422" s="4">
        <v>0</v>
      </c>
      <c r="H1422" s="8">
        <v>0</v>
      </c>
      <c r="I1422" s="4">
        <v>0</v>
      </c>
    </row>
    <row r="1423" spans="1:9" x14ac:dyDescent="0.2">
      <c r="A1423" s="2">
        <v>17</v>
      </c>
      <c r="B1423" s="1" t="s">
        <v>123</v>
      </c>
      <c r="C1423" s="4">
        <v>3</v>
      </c>
      <c r="D1423" s="8">
        <v>1.26</v>
      </c>
      <c r="E1423" s="4">
        <v>0</v>
      </c>
      <c r="F1423" s="8">
        <v>0</v>
      </c>
      <c r="G1423" s="4">
        <v>3</v>
      </c>
      <c r="H1423" s="8">
        <v>3.61</v>
      </c>
      <c r="I1423" s="4">
        <v>0</v>
      </c>
    </row>
    <row r="1424" spans="1:9" x14ac:dyDescent="0.2">
      <c r="A1424" s="2">
        <v>17</v>
      </c>
      <c r="B1424" s="1" t="s">
        <v>130</v>
      </c>
      <c r="C1424" s="4">
        <v>3</v>
      </c>
      <c r="D1424" s="8">
        <v>1.26</v>
      </c>
      <c r="E1424" s="4">
        <v>0</v>
      </c>
      <c r="F1424" s="8">
        <v>0</v>
      </c>
      <c r="G1424" s="4">
        <v>3</v>
      </c>
      <c r="H1424" s="8">
        <v>3.61</v>
      </c>
      <c r="I1424" s="4">
        <v>0</v>
      </c>
    </row>
    <row r="1425" spans="1:9" x14ac:dyDescent="0.2">
      <c r="A1425" s="2">
        <v>19</v>
      </c>
      <c r="B1425" s="1" t="s">
        <v>144</v>
      </c>
      <c r="C1425" s="4">
        <v>2</v>
      </c>
      <c r="D1425" s="8">
        <v>0.84</v>
      </c>
      <c r="E1425" s="4">
        <v>0</v>
      </c>
      <c r="F1425" s="8">
        <v>0</v>
      </c>
      <c r="G1425" s="4">
        <v>2</v>
      </c>
      <c r="H1425" s="8">
        <v>2.41</v>
      </c>
      <c r="I1425" s="4">
        <v>0</v>
      </c>
    </row>
    <row r="1426" spans="1:9" x14ac:dyDescent="0.2">
      <c r="A1426" s="2">
        <v>19</v>
      </c>
      <c r="B1426" s="1" t="s">
        <v>110</v>
      </c>
      <c r="C1426" s="4">
        <v>2</v>
      </c>
      <c r="D1426" s="8">
        <v>0.84</v>
      </c>
      <c r="E1426" s="4">
        <v>2</v>
      </c>
      <c r="F1426" s="8">
        <v>1.34</v>
      </c>
      <c r="G1426" s="4">
        <v>0</v>
      </c>
      <c r="H1426" s="8">
        <v>0</v>
      </c>
      <c r="I1426" s="4">
        <v>0</v>
      </c>
    </row>
    <row r="1427" spans="1:9" x14ac:dyDescent="0.2">
      <c r="A1427" s="2">
        <v>19</v>
      </c>
      <c r="B1427" s="1" t="s">
        <v>106</v>
      </c>
      <c r="C1427" s="4">
        <v>2</v>
      </c>
      <c r="D1427" s="8">
        <v>0.84</v>
      </c>
      <c r="E1427" s="4">
        <v>0</v>
      </c>
      <c r="F1427" s="8">
        <v>0</v>
      </c>
      <c r="G1427" s="4">
        <v>2</v>
      </c>
      <c r="H1427" s="8">
        <v>2.41</v>
      </c>
      <c r="I1427" s="4">
        <v>0</v>
      </c>
    </row>
    <row r="1428" spans="1:9" x14ac:dyDescent="0.2">
      <c r="A1428" s="2">
        <v>19</v>
      </c>
      <c r="B1428" s="1" t="s">
        <v>115</v>
      </c>
      <c r="C1428" s="4">
        <v>2</v>
      </c>
      <c r="D1428" s="8">
        <v>0.84</v>
      </c>
      <c r="E1428" s="4">
        <v>0</v>
      </c>
      <c r="F1428" s="8">
        <v>0</v>
      </c>
      <c r="G1428" s="4">
        <v>0</v>
      </c>
      <c r="H1428" s="8">
        <v>0</v>
      </c>
      <c r="I1428" s="4">
        <v>2</v>
      </c>
    </row>
    <row r="1429" spans="1:9" x14ac:dyDescent="0.2">
      <c r="A1429" s="2">
        <v>19</v>
      </c>
      <c r="B1429" s="1" t="s">
        <v>88</v>
      </c>
      <c r="C1429" s="4">
        <v>2</v>
      </c>
      <c r="D1429" s="8">
        <v>0.84</v>
      </c>
      <c r="E1429" s="4">
        <v>0</v>
      </c>
      <c r="F1429" s="8">
        <v>0</v>
      </c>
      <c r="G1429" s="4">
        <v>2</v>
      </c>
      <c r="H1429" s="8">
        <v>2.41</v>
      </c>
      <c r="I1429" s="4">
        <v>0</v>
      </c>
    </row>
    <row r="1430" spans="1:9" x14ac:dyDescent="0.2">
      <c r="A1430" s="2">
        <v>19</v>
      </c>
      <c r="B1430" s="1" t="s">
        <v>91</v>
      </c>
      <c r="C1430" s="4">
        <v>2</v>
      </c>
      <c r="D1430" s="8">
        <v>0.84</v>
      </c>
      <c r="E1430" s="4">
        <v>1</v>
      </c>
      <c r="F1430" s="8">
        <v>0.67</v>
      </c>
      <c r="G1430" s="4">
        <v>1</v>
      </c>
      <c r="H1430" s="8">
        <v>1.2</v>
      </c>
      <c r="I1430" s="4">
        <v>0</v>
      </c>
    </row>
    <row r="1431" spans="1:9" x14ac:dyDescent="0.2">
      <c r="A1431" s="2">
        <v>19</v>
      </c>
      <c r="B1431" s="1" t="s">
        <v>94</v>
      </c>
      <c r="C1431" s="4">
        <v>2</v>
      </c>
      <c r="D1431" s="8">
        <v>0.84</v>
      </c>
      <c r="E1431" s="4">
        <v>0</v>
      </c>
      <c r="F1431" s="8">
        <v>0</v>
      </c>
      <c r="G1431" s="4">
        <v>2</v>
      </c>
      <c r="H1431" s="8">
        <v>2.41</v>
      </c>
      <c r="I1431" s="4">
        <v>0</v>
      </c>
    </row>
    <row r="1432" spans="1:9" x14ac:dyDescent="0.2">
      <c r="A1432" s="2">
        <v>19</v>
      </c>
      <c r="B1432" s="1" t="s">
        <v>95</v>
      </c>
      <c r="C1432" s="4">
        <v>2</v>
      </c>
      <c r="D1432" s="8">
        <v>0.84</v>
      </c>
      <c r="E1432" s="4">
        <v>2</v>
      </c>
      <c r="F1432" s="8">
        <v>1.34</v>
      </c>
      <c r="G1432" s="4">
        <v>0</v>
      </c>
      <c r="H1432" s="8">
        <v>0</v>
      </c>
      <c r="I1432" s="4">
        <v>0</v>
      </c>
    </row>
    <row r="1433" spans="1:9" x14ac:dyDescent="0.2">
      <c r="A1433" s="2">
        <v>19</v>
      </c>
      <c r="B1433" s="1" t="s">
        <v>96</v>
      </c>
      <c r="C1433" s="4">
        <v>2</v>
      </c>
      <c r="D1433" s="8">
        <v>0.84</v>
      </c>
      <c r="E1433" s="4">
        <v>1</v>
      </c>
      <c r="F1433" s="8">
        <v>0.67</v>
      </c>
      <c r="G1433" s="4">
        <v>1</v>
      </c>
      <c r="H1433" s="8">
        <v>1.2</v>
      </c>
      <c r="I1433" s="4">
        <v>0</v>
      </c>
    </row>
    <row r="1434" spans="1:9" x14ac:dyDescent="0.2">
      <c r="A1434" s="2">
        <v>19</v>
      </c>
      <c r="B1434" s="1" t="s">
        <v>99</v>
      </c>
      <c r="C1434" s="4">
        <v>2</v>
      </c>
      <c r="D1434" s="8">
        <v>0.84</v>
      </c>
      <c r="E1434" s="4">
        <v>1</v>
      </c>
      <c r="F1434" s="8">
        <v>0.67</v>
      </c>
      <c r="G1434" s="4">
        <v>1</v>
      </c>
      <c r="H1434" s="8">
        <v>1.2</v>
      </c>
      <c r="I1434" s="4">
        <v>0</v>
      </c>
    </row>
    <row r="1435" spans="1:9" x14ac:dyDescent="0.2">
      <c r="A1435" s="2">
        <v>19</v>
      </c>
      <c r="B1435" s="1" t="s">
        <v>145</v>
      </c>
      <c r="C1435" s="4">
        <v>2</v>
      </c>
      <c r="D1435" s="8">
        <v>0.84</v>
      </c>
      <c r="E1435" s="4">
        <v>1</v>
      </c>
      <c r="F1435" s="8">
        <v>0.67</v>
      </c>
      <c r="G1435" s="4">
        <v>1</v>
      </c>
      <c r="H1435" s="8">
        <v>1.2</v>
      </c>
      <c r="I1435" s="4">
        <v>0</v>
      </c>
    </row>
    <row r="1436" spans="1:9" x14ac:dyDescent="0.2">
      <c r="A1436" s="2">
        <v>19</v>
      </c>
      <c r="B1436" s="1" t="s">
        <v>105</v>
      </c>
      <c r="C1436" s="4">
        <v>2</v>
      </c>
      <c r="D1436" s="8">
        <v>0.84</v>
      </c>
      <c r="E1436" s="4">
        <v>0</v>
      </c>
      <c r="F1436" s="8">
        <v>0</v>
      </c>
      <c r="G1436" s="4">
        <v>2</v>
      </c>
      <c r="H1436" s="8">
        <v>2.41</v>
      </c>
      <c r="I1436" s="4">
        <v>0</v>
      </c>
    </row>
    <row r="1437" spans="1:9" x14ac:dyDescent="0.2">
      <c r="A1437" s="1"/>
      <c r="C1437" s="4"/>
      <c r="D1437" s="8"/>
      <c r="E1437" s="4"/>
      <c r="F1437" s="8"/>
      <c r="G1437" s="4"/>
      <c r="H1437" s="8"/>
      <c r="I1437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44F5-0A73-468A-8F24-578454C4086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276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347</v>
      </c>
      <c r="D6" s="8">
        <v>13.69</v>
      </c>
      <c r="E6" s="12">
        <v>36</v>
      </c>
      <c r="F6" s="8">
        <v>3.43</v>
      </c>
      <c r="G6" s="12">
        <v>311</v>
      </c>
      <c r="H6" s="8">
        <v>21.01</v>
      </c>
      <c r="I6" s="12">
        <v>0</v>
      </c>
    </row>
    <row r="7" spans="2:9" ht="15" customHeight="1" x14ac:dyDescent="0.2">
      <c r="B7" t="s">
        <v>63</v>
      </c>
      <c r="C7" s="12">
        <v>172</v>
      </c>
      <c r="D7" s="8">
        <v>6.79</v>
      </c>
      <c r="E7" s="12">
        <v>25</v>
      </c>
      <c r="F7" s="8">
        <v>2.38</v>
      </c>
      <c r="G7" s="12">
        <v>147</v>
      </c>
      <c r="H7" s="8">
        <v>9.93</v>
      </c>
      <c r="I7" s="12">
        <v>0</v>
      </c>
    </row>
    <row r="8" spans="2:9" ht="15" customHeight="1" x14ac:dyDescent="0.2">
      <c r="B8" t="s">
        <v>64</v>
      </c>
      <c r="C8" s="12">
        <v>3</v>
      </c>
      <c r="D8" s="8">
        <v>0.12</v>
      </c>
      <c r="E8" s="12">
        <v>0</v>
      </c>
      <c r="F8" s="8">
        <v>0</v>
      </c>
      <c r="G8" s="12">
        <v>3</v>
      </c>
      <c r="H8" s="8">
        <v>0.2</v>
      </c>
      <c r="I8" s="12">
        <v>0</v>
      </c>
    </row>
    <row r="9" spans="2:9" ht="15" customHeight="1" x14ac:dyDescent="0.2">
      <c r="B9" t="s">
        <v>65</v>
      </c>
      <c r="C9" s="12">
        <v>35</v>
      </c>
      <c r="D9" s="8">
        <v>1.38</v>
      </c>
      <c r="E9" s="12">
        <v>0</v>
      </c>
      <c r="F9" s="8">
        <v>0</v>
      </c>
      <c r="G9" s="12">
        <v>35</v>
      </c>
      <c r="H9" s="8">
        <v>2.36</v>
      </c>
      <c r="I9" s="12">
        <v>0</v>
      </c>
    </row>
    <row r="10" spans="2:9" ht="15" customHeight="1" x14ac:dyDescent="0.2">
      <c r="B10" t="s">
        <v>66</v>
      </c>
      <c r="C10" s="12">
        <v>29</v>
      </c>
      <c r="D10" s="8">
        <v>1.1399999999999999</v>
      </c>
      <c r="E10" s="12">
        <v>4</v>
      </c>
      <c r="F10" s="8">
        <v>0.38</v>
      </c>
      <c r="G10" s="12">
        <v>25</v>
      </c>
      <c r="H10" s="8">
        <v>1.69</v>
      </c>
      <c r="I10" s="12">
        <v>0</v>
      </c>
    </row>
    <row r="11" spans="2:9" ht="15" customHeight="1" x14ac:dyDescent="0.2">
      <c r="B11" t="s">
        <v>67</v>
      </c>
      <c r="C11" s="12">
        <v>499</v>
      </c>
      <c r="D11" s="8">
        <v>19.68</v>
      </c>
      <c r="E11" s="12">
        <v>162</v>
      </c>
      <c r="F11" s="8">
        <v>15.41</v>
      </c>
      <c r="G11" s="12">
        <v>337</v>
      </c>
      <c r="H11" s="8">
        <v>22.77</v>
      </c>
      <c r="I11" s="12">
        <v>0</v>
      </c>
    </row>
    <row r="12" spans="2:9" ht="15" customHeight="1" x14ac:dyDescent="0.2">
      <c r="B12" t="s">
        <v>68</v>
      </c>
      <c r="C12" s="12">
        <v>10</v>
      </c>
      <c r="D12" s="8">
        <v>0.39</v>
      </c>
      <c r="E12" s="12">
        <v>0</v>
      </c>
      <c r="F12" s="8">
        <v>0</v>
      </c>
      <c r="G12" s="12">
        <v>10</v>
      </c>
      <c r="H12" s="8">
        <v>0.68</v>
      </c>
      <c r="I12" s="12">
        <v>0</v>
      </c>
    </row>
    <row r="13" spans="2:9" ht="15" customHeight="1" x14ac:dyDescent="0.2">
      <c r="B13" t="s">
        <v>69</v>
      </c>
      <c r="C13" s="12">
        <v>209</v>
      </c>
      <c r="D13" s="8">
        <v>8.24</v>
      </c>
      <c r="E13" s="12">
        <v>25</v>
      </c>
      <c r="F13" s="8">
        <v>2.38</v>
      </c>
      <c r="G13" s="12">
        <v>184</v>
      </c>
      <c r="H13" s="8">
        <v>12.43</v>
      </c>
      <c r="I13" s="12">
        <v>0</v>
      </c>
    </row>
    <row r="14" spans="2:9" ht="15" customHeight="1" x14ac:dyDescent="0.2">
      <c r="B14" t="s">
        <v>70</v>
      </c>
      <c r="C14" s="12">
        <v>126</v>
      </c>
      <c r="D14" s="8">
        <v>4.97</v>
      </c>
      <c r="E14" s="12">
        <v>46</v>
      </c>
      <c r="F14" s="8">
        <v>4.38</v>
      </c>
      <c r="G14" s="12">
        <v>80</v>
      </c>
      <c r="H14" s="8">
        <v>5.41</v>
      </c>
      <c r="I14" s="12">
        <v>0</v>
      </c>
    </row>
    <row r="15" spans="2:9" ht="15" customHeight="1" x14ac:dyDescent="0.2">
      <c r="B15" t="s">
        <v>71</v>
      </c>
      <c r="C15" s="12">
        <v>327</v>
      </c>
      <c r="D15" s="8">
        <v>12.9</v>
      </c>
      <c r="E15" s="12">
        <v>247</v>
      </c>
      <c r="F15" s="8">
        <v>23.5</v>
      </c>
      <c r="G15" s="12">
        <v>80</v>
      </c>
      <c r="H15" s="8">
        <v>5.41</v>
      </c>
      <c r="I15" s="12">
        <v>0</v>
      </c>
    </row>
    <row r="16" spans="2:9" ht="15" customHeight="1" x14ac:dyDescent="0.2">
      <c r="B16" t="s">
        <v>72</v>
      </c>
      <c r="C16" s="12">
        <v>393</v>
      </c>
      <c r="D16" s="8">
        <v>15.5</v>
      </c>
      <c r="E16" s="12">
        <v>282</v>
      </c>
      <c r="F16" s="8">
        <v>26.83</v>
      </c>
      <c r="G16" s="12">
        <v>111</v>
      </c>
      <c r="H16" s="8">
        <v>7.5</v>
      </c>
      <c r="I16" s="12">
        <v>0</v>
      </c>
    </row>
    <row r="17" spans="2:9" ht="15" customHeight="1" x14ac:dyDescent="0.2">
      <c r="B17" t="s">
        <v>73</v>
      </c>
      <c r="C17" s="12">
        <v>144</v>
      </c>
      <c r="D17" s="8">
        <v>5.68</v>
      </c>
      <c r="E17" s="12">
        <v>103</v>
      </c>
      <c r="F17" s="8">
        <v>9.8000000000000007</v>
      </c>
      <c r="G17" s="12">
        <v>41</v>
      </c>
      <c r="H17" s="8">
        <v>2.77</v>
      </c>
      <c r="I17" s="12">
        <v>0</v>
      </c>
    </row>
    <row r="18" spans="2:9" ht="15" customHeight="1" x14ac:dyDescent="0.2">
      <c r="B18" t="s">
        <v>74</v>
      </c>
      <c r="C18" s="12">
        <v>158</v>
      </c>
      <c r="D18" s="8">
        <v>6.23</v>
      </c>
      <c r="E18" s="12">
        <v>101</v>
      </c>
      <c r="F18" s="8">
        <v>9.61</v>
      </c>
      <c r="G18" s="12">
        <v>56</v>
      </c>
      <c r="H18" s="8">
        <v>3.78</v>
      </c>
      <c r="I18" s="12">
        <v>0</v>
      </c>
    </row>
    <row r="19" spans="2:9" ht="15" customHeight="1" x14ac:dyDescent="0.2">
      <c r="B19" t="s">
        <v>75</v>
      </c>
      <c r="C19" s="12">
        <v>83</v>
      </c>
      <c r="D19" s="8">
        <v>3.27</v>
      </c>
      <c r="E19" s="12">
        <v>20</v>
      </c>
      <c r="F19" s="8">
        <v>1.9</v>
      </c>
      <c r="G19" s="12">
        <v>60</v>
      </c>
      <c r="H19" s="8">
        <v>4.05</v>
      </c>
      <c r="I19" s="12">
        <v>1</v>
      </c>
    </row>
    <row r="20" spans="2:9" ht="15" customHeight="1" x14ac:dyDescent="0.2">
      <c r="B20" s="9" t="s">
        <v>248</v>
      </c>
      <c r="C20" s="12">
        <f>SUM(LTBL_12221[総数／事業所数])</f>
        <v>2535</v>
      </c>
      <c r="E20" s="12">
        <f>SUBTOTAL(109,LTBL_12221[個人／事業所数])</f>
        <v>1051</v>
      </c>
      <c r="G20" s="12">
        <f>SUBTOTAL(109,LTBL_12221[法人／事業所数])</f>
        <v>1480</v>
      </c>
      <c r="I20" s="12">
        <f>SUBTOTAL(109,LTBL_12221[法人以外の団体／事業所数])</f>
        <v>1</v>
      </c>
    </row>
    <row r="21" spans="2:9" ht="15" customHeight="1" x14ac:dyDescent="0.2">
      <c r="E21" s="11">
        <f>LTBL_12221[[#Totals],[個人／事業所数]]/LTBL_12221[[#Totals],[総数／事業所数]]</f>
        <v>0.41459566074950688</v>
      </c>
      <c r="G21" s="11">
        <f>LTBL_12221[[#Totals],[法人／事業所数]]/LTBL_12221[[#Totals],[総数／事業所数]]</f>
        <v>0.58382642998027612</v>
      </c>
      <c r="I21" s="11">
        <f>LTBL_12221[[#Totals],[法人以外の団体／事業所数]]/LTBL_12221[[#Totals],[総数／事業所数]]</f>
        <v>3.9447731755424062E-4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327</v>
      </c>
      <c r="D24" s="8">
        <v>12.9</v>
      </c>
      <c r="E24" s="12">
        <v>253</v>
      </c>
      <c r="F24" s="8">
        <v>24.07</v>
      </c>
      <c r="G24" s="12">
        <v>74</v>
      </c>
      <c r="H24" s="8">
        <v>5</v>
      </c>
      <c r="I24" s="12">
        <v>0</v>
      </c>
    </row>
    <row r="25" spans="2:9" ht="15" customHeight="1" x14ac:dyDescent="0.2">
      <c r="B25" t="s">
        <v>97</v>
      </c>
      <c r="C25" s="12">
        <v>308</v>
      </c>
      <c r="D25" s="8">
        <v>12.15</v>
      </c>
      <c r="E25" s="12">
        <v>245</v>
      </c>
      <c r="F25" s="8">
        <v>23.31</v>
      </c>
      <c r="G25" s="12">
        <v>63</v>
      </c>
      <c r="H25" s="8">
        <v>4.26</v>
      </c>
      <c r="I25" s="12">
        <v>0</v>
      </c>
    </row>
    <row r="26" spans="2:9" ht="15" customHeight="1" x14ac:dyDescent="0.2">
      <c r="B26" t="s">
        <v>94</v>
      </c>
      <c r="C26" s="12">
        <v>154</v>
      </c>
      <c r="D26" s="8">
        <v>6.07</v>
      </c>
      <c r="E26" s="12">
        <v>24</v>
      </c>
      <c r="F26" s="8">
        <v>2.2799999999999998</v>
      </c>
      <c r="G26" s="12">
        <v>130</v>
      </c>
      <c r="H26" s="8">
        <v>8.7799999999999994</v>
      </c>
      <c r="I26" s="12">
        <v>0</v>
      </c>
    </row>
    <row r="27" spans="2:9" ht="15" customHeight="1" x14ac:dyDescent="0.2">
      <c r="B27" t="s">
        <v>100</v>
      </c>
      <c r="C27" s="12">
        <v>144</v>
      </c>
      <c r="D27" s="8">
        <v>5.68</v>
      </c>
      <c r="E27" s="12">
        <v>103</v>
      </c>
      <c r="F27" s="8">
        <v>9.8000000000000007</v>
      </c>
      <c r="G27" s="12">
        <v>41</v>
      </c>
      <c r="H27" s="8">
        <v>2.77</v>
      </c>
      <c r="I27" s="12">
        <v>0</v>
      </c>
    </row>
    <row r="28" spans="2:9" ht="15" customHeight="1" x14ac:dyDescent="0.2">
      <c r="B28" t="s">
        <v>85</v>
      </c>
      <c r="C28" s="12">
        <v>138</v>
      </c>
      <c r="D28" s="8">
        <v>5.44</v>
      </c>
      <c r="E28" s="12">
        <v>18</v>
      </c>
      <c r="F28" s="8">
        <v>1.71</v>
      </c>
      <c r="G28" s="12">
        <v>120</v>
      </c>
      <c r="H28" s="8">
        <v>8.11</v>
      </c>
      <c r="I28" s="12">
        <v>0</v>
      </c>
    </row>
    <row r="29" spans="2:9" ht="15" customHeight="1" x14ac:dyDescent="0.2">
      <c r="B29" t="s">
        <v>92</v>
      </c>
      <c r="C29" s="12">
        <v>128</v>
      </c>
      <c r="D29" s="8">
        <v>5.05</v>
      </c>
      <c r="E29" s="12">
        <v>53</v>
      </c>
      <c r="F29" s="8">
        <v>5.04</v>
      </c>
      <c r="G29" s="12">
        <v>75</v>
      </c>
      <c r="H29" s="8">
        <v>5.07</v>
      </c>
      <c r="I29" s="12">
        <v>0</v>
      </c>
    </row>
    <row r="30" spans="2:9" ht="15" customHeight="1" x14ac:dyDescent="0.2">
      <c r="B30" t="s">
        <v>101</v>
      </c>
      <c r="C30" s="12">
        <v>126</v>
      </c>
      <c r="D30" s="8">
        <v>4.97</v>
      </c>
      <c r="E30" s="12">
        <v>101</v>
      </c>
      <c r="F30" s="8">
        <v>9.61</v>
      </c>
      <c r="G30" s="12">
        <v>25</v>
      </c>
      <c r="H30" s="8">
        <v>1.69</v>
      </c>
      <c r="I30" s="12">
        <v>0</v>
      </c>
    </row>
    <row r="31" spans="2:9" ht="15" customHeight="1" x14ac:dyDescent="0.2">
      <c r="B31" t="s">
        <v>84</v>
      </c>
      <c r="C31" s="12">
        <v>118</v>
      </c>
      <c r="D31" s="8">
        <v>4.6500000000000004</v>
      </c>
      <c r="E31" s="12">
        <v>13</v>
      </c>
      <c r="F31" s="8">
        <v>1.24</v>
      </c>
      <c r="G31" s="12">
        <v>105</v>
      </c>
      <c r="H31" s="8">
        <v>7.09</v>
      </c>
      <c r="I31" s="12">
        <v>0</v>
      </c>
    </row>
    <row r="32" spans="2:9" ht="15" customHeight="1" x14ac:dyDescent="0.2">
      <c r="B32" t="s">
        <v>90</v>
      </c>
      <c r="C32" s="12">
        <v>95</v>
      </c>
      <c r="D32" s="8">
        <v>3.75</v>
      </c>
      <c r="E32" s="12">
        <v>52</v>
      </c>
      <c r="F32" s="8">
        <v>4.95</v>
      </c>
      <c r="G32" s="12">
        <v>43</v>
      </c>
      <c r="H32" s="8">
        <v>2.91</v>
      </c>
      <c r="I32" s="12">
        <v>0</v>
      </c>
    </row>
    <row r="33" spans="2:9" ht="15" customHeight="1" x14ac:dyDescent="0.2">
      <c r="B33" t="s">
        <v>86</v>
      </c>
      <c r="C33" s="12">
        <v>91</v>
      </c>
      <c r="D33" s="8">
        <v>3.59</v>
      </c>
      <c r="E33" s="12">
        <v>5</v>
      </c>
      <c r="F33" s="8">
        <v>0.48</v>
      </c>
      <c r="G33" s="12">
        <v>86</v>
      </c>
      <c r="H33" s="8">
        <v>5.81</v>
      </c>
      <c r="I33" s="12">
        <v>0</v>
      </c>
    </row>
    <row r="34" spans="2:9" ht="15" customHeight="1" x14ac:dyDescent="0.2">
      <c r="B34" t="s">
        <v>95</v>
      </c>
      <c r="C34" s="12">
        <v>71</v>
      </c>
      <c r="D34" s="8">
        <v>2.8</v>
      </c>
      <c r="E34" s="12">
        <v>30</v>
      </c>
      <c r="F34" s="8">
        <v>2.85</v>
      </c>
      <c r="G34" s="12">
        <v>41</v>
      </c>
      <c r="H34" s="8">
        <v>2.77</v>
      </c>
      <c r="I34" s="12">
        <v>0</v>
      </c>
    </row>
    <row r="35" spans="2:9" ht="15" customHeight="1" x14ac:dyDescent="0.2">
      <c r="B35" t="s">
        <v>89</v>
      </c>
      <c r="C35" s="12">
        <v>65</v>
      </c>
      <c r="D35" s="8">
        <v>2.56</v>
      </c>
      <c r="E35" s="12">
        <v>26</v>
      </c>
      <c r="F35" s="8">
        <v>2.4700000000000002</v>
      </c>
      <c r="G35" s="12">
        <v>39</v>
      </c>
      <c r="H35" s="8">
        <v>2.64</v>
      </c>
      <c r="I35" s="12">
        <v>0</v>
      </c>
    </row>
    <row r="36" spans="2:9" ht="15" customHeight="1" x14ac:dyDescent="0.2">
      <c r="B36" t="s">
        <v>91</v>
      </c>
      <c r="C36" s="12">
        <v>63</v>
      </c>
      <c r="D36" s="8">
        <v>2.4900000000000002</v>
      </c>
      <c r="E36" s="12">
        <v>22</v>
      </c>
      <c r="F36" s="8">
        <v>2.09</v>
      </c>
      <c r="G36" s="12">
        <v>41</v>
      </c>
      <c r="H36" s="8">
        <v>2.77</v>
      </c>
      <c r="I36" s="12">
        <v>0</v>
      </c>
    </row>
    <row r="37" spans="2:9" ht="15" customHeight="1" x14ac:dyDescent="0.2">
      <c r="B37" t="s">
        <v>93</v>
      </c>
      <c r="C37" s="12">
        <v>49</v>
      </c>
      <c r="D37" s="8">
        <v>1.93</v>
      </c>
      <c r="E37" s="12">
        <v>1</v>
      </c>
      <c r="F37" s="8">
        <v>0.1</v>
      </c>
      <c r="G37" s="12">
        <v>48</v>
      </c>
      <c r="H37" s="8">
        <v>3.24</v>
      </c>
      <c r="I37" s="12">
        <v>0</v>
      </c>
    </row>
    <row r="38" spans="2:9" ht="15" customHeight="1" x14ac:dyDescent="0.2">
      <c r="B38" t="s">
        <v>96</v>
      </c>
      <c r="C38" s="12">
        <v>48</v>
      </c>
      <c r="D38" s="8">
        <v>1.89</v>
      </c>
      <c r="E38" s="12">
        <v>16</v>
      </c>
      <c r="F38" s="8">
        <v>1.52</v>
      </c>
      <c r="G38" s="12">
        <v>32</v>
      </c>
      <c r="H38" s="8">
        <v>2.16</v>
      </c>
      <c r="I38" s="12">
        <v>0</v>
      </c>
    </row>
    <row r="39" spans="2:9" ht="15" customHeight="1" x14ac:dyDescent="0.2">
      <c r="B39" t="s">
        <v>99</v>
      </c>
      <c r="C39" s="12">
        <v>41</v>
      </c>
      <c r="D39" s="8">
        <v>1.62</v>
      </c>
      <c r="E39" s="12">
        <v>15</v>
      </c>
      <c r="F39" s="8">
        <v>1.43</v>
      </c>
      <c r="G39" s="12">
        <v>26</v>
      </c>
      <c r="H39" s="8">
        <v>1.76</v>
      </c>
      <c r="I39" s="12">
        <v>0</v>
      </c>
    </row>
    <row r="40" spans="2:9" ht="15" customHeight="1" x14ac:dyDescent="0.2">
      <c r="B40" t="s">
        <v>106</v>
      </c>
      <c r="C40" s="12">
        <v>40</v>
      </c>
      <c r="D40" s="8">
        <v>1.58</v>
      </c>
      <c r="E40" s="12">
        <v>9</v>
      </c>
      <c r="F40" s="8">
        <v>0.86</v>
      </c>
      <c r="G40" s="12">
        <v>31</v>
      </c>
      <c r="H40" s="8">
        <v>2.09</v>
      </c>
      <c r="I40" s="12">
        <v>0</v>
      </c>
    </row>
    <row r="41" spans="2:9" ht="15" customHeight="1" x14ac:dyDescent="0.2">
      <c r="B41" t="s">
        <v>103</v>
      </c>
      <c r="C41" s="12">
        <v>39</v>
      </c>
      <c r="D41" s="8">
        <v>1.54</v>
      </c>
      <c r="E41" s="12">
        <v>16</v>
      </c>
      <c r="F41" s="8">
        <v>1.52</v>
      </c>
      <c r="G41" s="12">
        <v>23</v>
      </c>
      <c r="H41" s="8">
        <v>1.55</v>
      </c>
      <c r="I41" s="12">
        <v>0</v>
      </c>
    </row>
    <row r="42" spans="2:9" ht="15" customHeight="1" x14ac:dyDescent="0.2">
      <c r="B42" t="s">
        <v>88</v>
      </c>
      <c r="C42" s="12">
        <v>37</v>
      </c>
      <c r="D42" s="8">
        <v>1.46</v>
      </c>
      <c r="E42" s="12">
        <v>2</v>
      </c>
      <c r="F42" s="8">
        <v>0.19</v>
      </c>
      <c r="G42" s="12">
        <v>35</v>
      </c>
      <c r="H42" s="8">
        <v>2.36</v>
      </c>
      <c r="I42" s="12">
        <v>0</v>
      </c>
    </row>
    <row r="43" spans="2:9" ht="15" customHeight="1" x14ac:dyDescent="0.2">
      <c r="B43" t="s">
        <v>102</v>
      </c>
      <c r="C43" s="12">
        <v>32</v>
      </c>
      <c r="D43" s="8">
        <v>1.26</v>
      </c>
      <c r="E43" s="12">
        <v>0</v>
      </c>
      <c r="F43" s="8">
        <v>0</v>
      </c>
      <c r="G43" s="12">
        <v>31</v>
      </c>
      <c r="H43" s="8">
        <v>2.09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153</v>
      </c>
      <c r="D47" s="8">
        <v>6.04</v>
      </c>
      <c r="E47" s="12">
        <v>124</v>
      </c>
      <c r="F47" s="8">
        <v>11.8</v>
      </c>
      <c r="G47" s="12">
        <v>29</v>
      </c>
      <c r="H47" s="8">
        <v>1.96</v>
      </c>
      <c r="I47" s="12">
        <v>0</v>
      </c>
    </row>
    <row r="48" spans="2:9" ht="15" customHeight="1" x14ac:dyDescent="0.2">
      <c r="B48" t="s">
        <v>162</v>
      </c>
      <c r="C48" s="12">
        <v>103</v>
      </c>
      <c r="D48" s="8">
        <v>4.0599999999999996</v>
      </c>
      <c r="E48" s="12">
        <v>84</v>
      </c>
      <c r="F48" s="8">
        <v>7.99</v>
      </c>
      <c r="G48" s="12">
        <v>19</v>
      </c>
      <c r="H48" s="8">
        <v>1.28</v>
      </c>
      <c r="I48" s="12">
        <v>0</v>
      </c>
    </row>
    <row r="49" spans="2:9" ht="15" customHeight="1" x14ac:dyDescent="0.2">
      <c r="B49" t="s">
        <v>163</v>
      </c>
      <c r="C49" s="12">
        <v>101</v>
      </c>
      <c r="D49" s="8">
        <v>3.98</v>
      </c>
      <c r="E49" s="12">
        <v>94</v>
      </c>
      <c r="F49" s="8">
        <v>8.94</v>
      </c>
      <c r="G49" s="12">
        <v>7</v>
      </c>
      <c r="H49" s="8">
        <v>0.47</v>
      </c>
      <c r="I49" s="12">
        <v>0</v>
      </c>
    </row>
    <row r="50" spans="2:9" ht="15" customHeight="1" x14ac:dyDescent="0.2">
      <c r="B50" t="s">
        <v>165</v>
      </c>
      <c r="C50" s="12">
        <v>88</v>
      </c>
      <c r="D50" s="8">
        <v>3.47</v>
      </c>
      <c r="E50" s="12">
        <v>65</v>
      </c>
      <c r="F50" s="8">
        <v>6.18</v>
      </c>
      <c r="G50" s="12">
        <v>23</v>
      </c>
      <c r="H50" s="8">
        <v>1.55</v>
      </c>
      <c r="I50" s="12">
        <v>0</v>
      </c>
    </row>
    <row r="51" spans="2:9" ht="15" customHeight="1" x14ac:dyDescent="0.2">
      <c r="B51" t="s">
        <v>166</v>
      </c>
      <c r="C51" s="12">
        <v>82</v>
      </c>
      <c r="D51" s="8">
        <v>3.23</v>
      </c>
      <c r="E51" s="12">
        <v>62</v>
      </c>
      <c r="F51" s="8">
        <v>5.9</v>
      </c>
      <c r="G51" s="12">
        <v>20</v>
      </c>
      <c r="H51" s="8">
        <v>1.35</v>
      </c>
      <c r="I51" s="12">
        <v>0</v>
      </c>
    </row>
    <row r="52" spans="2:9" ht="15" customHeight="1" x14ac:dyDescent="0.2">
      <c r="B52" t="s">
        <v>161</v>
      </c>
      <c r="C52" s="12">
        <v>76</v>
      </c>
      <c r="D52" s="8">
        <v>3</v>
      </c>
      <c r="E52" s="12">
        <v>59</v>
      </c>
      <c r="F52" s="8">
        <v>5.61</v>
      </c>
      <c r="G52" s="12">
        <v>17</v>
      </c>
      <c r="H52" s="8">
        <v>1.1499999999999999</v>
      </c>
      <c r="I52" s="12">
        <v>0</v>
      </c>
    </row>
    <row r="53" spans="2:9" ht="15" customHeight="1" x14ac:dyDescent="0.2">
      <c r="B53" t="s">
        <v>158</v>
      </c>
      <c r="C53" s="12">
        <v>73</v>
      </c>
      <c r="D53" s="8">
        <v>2.88</v>
      </c>
      <c r="E53" s="12">
        <v>18</v>
      </c>
      <c r="F53" s="8">
        <v>1.71</v>
      </c>
      <c r="G53" s="12">
        <v>55</v>
      </c>
      <c r="H53" s="8">
        <v>3.72</v>
      </c>
      <c r="I53" s="12">
        <v>0</v>
      </c>
    </row>
    <row r="54" spans="2:9" ht="15" customHeight="1" x14ac:dyDescent="0.2">
      <c r="B54" t="s">
        <v>180</v>
      </c>
      <c r="C54" s="12">
        <v>51</v>
      </c>
      <c r="D54" s="8">
        <v>2.0099999999999998</v>
      </c>
      <c r="E54" s="12">
        <v>37</v>
      </c>
      <c r="F54" s="8">
        <v>3.52</v>
      </c>
      <c r="G54" s="12">
        <v>14</v>
      </c>
      <c r="H54" s="8">
        <v>0.95</v>
      </c>
      <c r="I54" s="12">
        <v>0</v>
      </c>
    </row>
    <row r="55" spans="2:9" ht="15" customHeight="1" x14ac:dyDescent="0.2">
      <c r="B55" t="s">
        <v>193</v>
      </c>
      <c r="C55" s="12">
        <v>45</v>
      </c>
      <c r="D55" s="8">
        <v>1.78</v>
      </c>
      <c r="E55" s="12">
        <v>42</v>
      </c>
      <c r="F55" s="8">
        <v>4</v>
      </c>
      <c r="G55" s="12">
        <v>3</v>
      </c>
      <c r="H55" s="8">
        <v>0.2</v>
      </c>
      <c r="I55" s="12">
        <v>0</v>
      </c>
    </row>
    <row r="56" spans="2:9" ht="15" customHeight="1" x14ac:dyDescent="0.2">
      <c r="B56" t="s">
        <v>155</v>
      </c>
      <c r="C56" s="12">
        <v>43</v>
      </c>
      <c r="D56" s="8">
        <v>1.7</v>
      </c>
      <c r="E56" s="12">
        <v>11</v>
      </c>
      <c r="F56" s="8">
        <v>1.05</v>
      </c>
      <c r="G56" s="12">
        <v>32</v>
      </c>
      <c r="H56" s="8">
        <v>2.16</v>
      </c>
      <c r="I56" s="12">
        <v>0</v>
      </c>
    </row>
    <row r="57" spans="2:9" ht="15" customHeight="1" x14ac:dyDescent="0.2">
      <c r="B57" t="s">
        <v>169</v>
      </c>
      <c r="C57" s="12">
        <v>43</v>
      </c>
      <c r="D57" s="8">
        <v>1.7</v>
      </c>
      <c r="E57" s="12">
        <v>16</v>
      </c>
      <c r="F57" s="8">
        <v>1.52</v>
      </c>
      <c r="G57" s="12">
        <v>27</v>
      </c>
      <c r="H57" s="8">
        <v>1.82</v>
      </c>
      <c r="I57" s="12">
        <v>0</v>
      </c>
    </row>
    <row r="58" spans="2:9" ht="15" customHeight="1" x14ac:dyDescent="0.2">
      <c r="B58" t="s">
        <v>154</v>
      </c>
      <c r="C58" s="12">
        <v>42</v>
      </c>
      <c r="D58" s="8">
        <v>1.66</v>
      </c>
      <c r="E58" s="12">
        <v>23</v>
      </c>
      <c r="F58" s="8">
        <v>2.19</v>
      </c>
      <c r="G58" s="12">
        <v>19</v>
      </c>
      <c r="H58" s="8">
        <v>1.28</v>
      </c>
      <c r="I58" s="12">
        <v>0</v>
      </c>
    </row>
    <row r="59" spans="2:9" ht="15" customHeight="1" x14ac:dyDescent="0.2">
      <c r="B59" t="s">
        <v>177</v>
      </c>
      <c r="C59" s="12">
        <v>40</v>
      </c>
      <c r="D59" s="8">
        <v>1.58</v>
      </c>
      <c r="E59" s="12">
        <v>11</v>
      </c>
      <c r="F59" s="8">
        <v>1.05</v>
      </c>
      <c r="G59" s="12">
        <v>29</v>
      </c>
      <c r="H59" s="8">
        <v>1.96</v>
      </c>
      <c r="I59" s="12">
        <v>0</v>
      </c>
    </row>
    <row r="60" spans="2:9" ht="15" customHeight="1" x14ac:dyDescent="0.2">
      <c r="B60" t="s">
        <v>156</v>
      </c>
      <c r="C60" s="12">
        <v>40</v>
      </c>
      <c r="D60" s="8">
        <v>1.58</v>
      </c>
      <c r="E60" s="12">
        <v>21</v>
      </c>
      <c r="F60" s="8">
        <v>2</v>
      </c>
      <c r="G60" s="12">
        <v>19</v>
      </c>
      <c r="H60" s="8">
        <v>1.28</v>
      </c>
      <c r="I60" s="12">
        <v>0</v>
      </c>
    </row>
    <row r="61" spans="2:9" ht="15" customHeight="1" x14ac:dyDescent="0.2">
      <c r="B61" t="s">
        <v>170</v>
      </c>
      <c r="C61" s="12">
        <v>39</v>
      </c>
      <c r="D61" s="8">
        <v>1.54</v>
      </c>
      <c r="E61" s="12">
        <v>36</v>
      </c>
      <c r="F61" s="8">
        <v>3.43</v>
      </c>
      <c r="G61" s="12">
        <v>3</v>
      </c>
      <c r="H61" s="8">
        <v>0.2</v>
      </c>
      <c r="I61" s="12">
        <v>0</v>
      </c>
    </row>
    <row r="62" spans="2:9" ht="15" customHeight="1" x14ac:dyDescent="0.2">
      <c r="B62" t="s">
        <v>167</v>
      </c>
      <c r="C62" s="12">
        <v>39</v>
      </c>
      <c r="D62" s="8">
        <v>1.54</v>
      </c>
      <c r="E62" s="12">
        <v>16</v>
      </c>
      <c r="F62" s="8">
        <v>1.52</v>
      </c>
      <c r="G62" s="12">
        <v>23</v>
      </c>
      <c r="H62" s="8">
        <v>1.55</v>
      </c>
      <c r="I62" s="12">
        <v>0</v>
      </c>
    </row>
    <row r="63" spans="2:9" ht="15" customHeight="1" x14ac:dyDescent="0.2">
      <c r="B63" t="s">
        <v>159</v>
      </c>
      <c r="C63" s="12">
        <v>37</v>
      </c>
      <c r="D63" s="8">
        <v>1.46</v>
      </c>
      <c r="E63" s="12">
        <v>1</v>
      </c>
      <c r="F63" s="8">
        <v>0.1</v>
      </c>
      <c r="G63" s="12">
        <v>36</v>
      </c>
      <c r="H63" s="8">
        <v>2.4300000000000002</v>
      </c>
      <c r="I63" s="12">
        <v>0</v>
      </c>
    </row>
    <row r="64" spans="2:9" ht="15" customHeight="1" x14ac:dyDescent="0.2">
      <c r="B64" t="s">
        <v>157</v>
      </c>
      <c r="C64" s="12">
        <v>36</v>
      </c>
      <c r="D64" s="8">
        <v>1.42</v>
      </c>
      <c r="E64" s="12">
        <v>2</v>
      </c>
      <c r="F64" s="8">
        <v>0.19</v>
      </c>
      <c r="G64" s="12">
        <v>34</v>
      </c>
      <c r="H64" s="8">
        <v>2.2999999999999998</v>
      </c>
      <c r="I64" s="12">
        <v>0</v>
      </c>
    </row>
    <row r="65" spans="2:9" ht="15" customHeight="1" x14ac:dyDescent="0.2">
      <c r="B65" t="s">
        <v>152</v>
      </c>
      <c r="C65" s="12">
        <v>35</v>
      </c>
      <c r="D65" s="8">
        <v>1.38</v>
      </c>
      <c r="E65" s="12">
        <v>4</v>
      </c>
      <c r="F65" s="8">
        <v>0.38</v>
      </c>
      <c r="G65" s="12">
        <v>31</v>
      </c>
      <c r="H65" s="8">
        <v>2.09</v>
      </c>
      <c r="I65" s="12">
        <v>0</v>
      </c>
    </row>
    <row r="66" spans="2:9" ht="15" customHeight="1" x14ac:dyDescent="0.2">
      <c r="B66" t="s">
        <v>171</v>
      </c>
      <c r="C66" s="12">
        <v>35</v>
      </c>
      <c r="D66" s="8">
        <v>1.38</v>
      </c>
      <c r="E66" s="12">
        <v>1</v>
      </c>
      <c r="F66" s="8">
        <v>0.1</v>
      </c>
      <c r="G66" s="12">
        <v>34</v>
      </c>
      <c r="H66" s="8">
        <v>2.2999999999999998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9D367-7135-450B-AC95-1DFD6B9039C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277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236</v>
      </c>
      <c r="D6" s="8">
        <v>14.06</v>
      </c>
      <c r="E6" s="12">
        <v>45</v>
      </c>
      <c r="F6" s="8">
        <v>5.94</v>
      </c>
      <c r="G6" s="12">
        <v>191</v>
      </c>
      <c r="H6" s="8">
        <v>20.85</v>
      </c>
      <c r="I6" s="12">
        <v>0</v>
      </c>
    </row>
    <row r="7" spans="2:9" ht="15" customHeight="1" x14ac:dyDescent="0.2">
      <c r="B7" t="s">
        <v>63</v>
      </c>
      <c r="C7" s="12">
        <v>62</v>
      </c>
      <c r="D7" s="8">
        <v>3.69</v>
      </c>
      <c r="E7" s="12">
        <v>25</v>
      </c>
      <c r="F7" s="8">
        <v>3.3</v>
      </c>
      <c r="G7" s="12">
        <v>37</v>
      </c>
      <c r="H7" s="8">
        <v>4.04</v>
      </c>
      <c r="I7" s="12">
        <v>0</v>
      </c>
    </row>
    <row r="8" spans="2:9" ht="15" customHeight="1" x14ac:dyDescent="0.2">
      <c r="B8" t="s">
        <v>64</v>
      </c>
      <c r="C8" s="12">
        <v>4</v>
      </c>
      <c r="D8" s="8">
        <v>0.24</v>
      </c>
      <c r="E8" s="12">
        <v>0</v>
      </c>
      <c r="F8" s="8">
        <v>0</v>
      </c>
      <c r="G8" s="12">
        <v>4</v>
      </c>
      <c r="H8" s="8">
        <v>0.44</v>
      </c>
      <c r="I8" s="12">
        <v>0</v>
      </c>
    </row>
    <row r="9" spans="2:9" ht="15" customHeight="1" x14ac:dyDescent="0.2">
      <c r="B9" t="s">
        <v>65</v>
      </c>
      <c r="C9" s="12">
        <v>38</v>
      </c>
      <c r="D9" s="8">
        <v>2.2599999999999998</v>
      </c>
      <c r="E9" s="12">
        <v>0</v>
      </c>
      <c r="F9" s="8">
        <v>0</v>
      </c>
      <c r="G9" s="12">
        <v>38</v>
      </c>
      <c r="H9" s="8">
        <v>4.1500000000000004</v>
      </c>
      <c r="I9" s="12">
        <v>0</v>
      </c>
    </row>
    <row r="10" spans="2:9" ht="15" customHeight="1" x14ac:dyDescent="0.2">
      <c r="B10" t="s">
        <v>66</v>
      </c>
      <c r="C10" s="12">
        <v>11</v>
      </c>
      <c r="D10" s="8">
        <v>0.66</v>
      </c>
      <c r="E10" s="12">
        <v>2</v>
      </c>
      <c r="F10" s="8">
        <v>0.26</v>
      </c>
      <c r="G10" s="12">
        <v>9</v>
      </c>
      <c r="H10" s="8">
        <v>0.98</v>
      </c>
      <c r="I10" s="12">
        <v>0</v>
      </c>
    </row>
    <row r="11" spans="2:9" ht="15" customHeight="1" x14ac:dyDescent="0.2">
      <c r="B11" t="s">
        <v>67</v>
      </c>
      <c r="C11" s="12">
        <v>350</v>
      </c>
      <c r="D11" s="8">
        <v>20.86</v>
      </c>
      <c r="E11" s="12">
        <v>135</v>
      </c>
      <c r="F11" s="8">
        <v>17.829999999999998</v>
      </c>
      <c r="G11" s="12">
        <v>213</v>
      </c>
      <c r="H11" s="8">
        <v>23.25</v>
      </c>
      <c r="I11" s="12">
        <v>2</v>
      </c>
    </row>
    <row r="12" spans="2:9" ht="15" customHeight="1" x14ac:dyDescent="0.2">
      <c r="B12" t="s">
        <v>68</v>
      </c>
      <c r="C12" s="12">
        <v>16</v>
      </c>
      <c r="D12" s="8">
        <v>0.95</v>
      </c>
      <c r="E12" s="12">
        <v>3</v>
      </c>
      <c r="F12" s="8">
        <v>0.4</v>
      </c>
      <c r="G12" s="12">
        <v>13</v>
      </c>
      <c r="H12" s="8">
        <v>1.42</v>
      </c>
      <c r="I12" s="12">
        <v>0</v>
      </c>
    </row>
    <row r="13" spans="2:9" ht="15" customHeight="1" x14ac:dyDescent="0.2">
      <c r="B13" t="s">
        <v>69</v>
      </c>
      <c r="C13" s="12">
        <v>171</v>
      </c>
      <c r="D13" s="8">
        <v>10.19</v>
      </c>
      <c r="E13" s="12">
        <v>25</v>
      </c>
      <c r="F13" s="8">
        <v>3.3</v>
      </c>
      <c r="G13" s="12">
        <v>146</v>
      </c>
      <c r="H13" s="8">
        <v>15.94</v>
      </c>
      <c r="I13" s="12">
        <v>0</v>
      </c>
    </row>
    <row r="14" spans="2:9" ht="15" customHeight="1" x14ac:dyDescent="0.2">
      <c r="B14" t="s">
        <v>70</v>
      </c>
      <c r="C14" s="12">
        <v>113</v>
      </c>
      <c r="D14" s="8">
        <v>6.73</v>
      </c>
      <c r="E14" s="12">
        <v>45</v>
      </c>
      <c r="F14" s="8">
        <v>5.94</v>
      </c>
      <c r="G14" s="12">
        <v>68</v>
      </c>
      <c r="H14" s="8">
        <v>7.42</v>
      </c>
      <c r="I14" s="12">
        <v>0</v>
      </c>
    </row>
    <row r="15" spans="2:9" ht="15" customHeight="1" x14ac:dyDescent="0.2">
      <c r="B15" t="s">
        <v>71</v>
      </c>
      <c r="C15" s="12">
        <v>156</v>
      </c>
      <c r="D15" s="8">
        <v>9.3000000000000007</v>
      </c>
      <c r="E15" s="12">
        <v>120</v>
      </c>
      <c r="F15" s="8">
        <v>15.85</v>
      </c>
      <c r="G15" s="12">
        <v>36</v>
      </c>
      <c r="H15" s="8">
        <v>3.93</v>
      </c>
      <c r="I15" s="12">
        <v>0</v>
      </c>
    </row>
    <row r="16" spans="2:9" ht="15" customHeight="1" x14ac:dyDescent="0.2">
      <c r="B16" t="s">
        <v>72</v>
      </c>
      <c r="C16" s="12">
        <v>237</v>
      </c>
      <c r="D16" s="8">
        <v>14.12</v>
      </c>
      <c r="E16" s="12">
        <v>187</v>
      </c>
      <c r="F16" s="8">
        <v>24.7</v>
      </c>
      <c r="G16" s="12">
        <v>50</v>
      </c>
      <c r="H16" s="8">
        <v>5.46</v>
      </c>
      <c r="I16" s="12">
        <v>0</v>
      </c>
    </row>
    <row r="17" spans="2:9" ht="15" customHeight="1" x14ac:dyDescent="0.2">
      <c r="B17" t="s">
        <v>73</v>
      </c>
      <c r="C17" s="12">
        <v>107</v>
      </c>
      <c r="D17" s="8">
        <v>6.38</v>
      </c>
      <c r="E17" s="12">
        <v>75</v>
      </c>
      <c r="F17" s="8">
        <v>9.91</v>
      </c>
      <c r="G17" s="12">
        <v>32</v>
      </c>
      <c r="H17" s="8">
        <v>3.49</v>
      </c>
      <c r="I17" s="12">
        <v>0</v>
      </c>
    </row>
    <row r="18" spans="2:9" ht="15" customHeight="1" x14ac:dyDescent="0.2">
      <c r="B18" t="s">
        <v>74</v>
      </c>
      <c r="C18" s="12">
        <v>130</v>
      </c>
      <c r="D18" s="8">
        <v>7.75</v>
      </c>
      <c r="E18" s="12">
        <v>85</v>
      </c>
      <c r="F18" s="8">
        <v>11.23</v>
      </c>
      <c r="G18" s="12">
        <v>42</v>
      </c>
      <c r="H18" s="8">
        <v>4.59</v>
      </c>
      <c r="I18" s="12">
        <v>1</v>
      </c>
    </row>
    <row r="19" spans="2:9" ht="15" customHeight="1" x14ac:dyDescent="0.2">
      <c r="B19" t="s">
        <v>75</v>
      </c>
      <c r="C19" s="12">
        <v>47</v>
      </c>
      <c r="D19" s="8">
        <v>2.8</v>
      </c>
      <c r="E19" s="12">
        <v>10</v>
      </c>
      <c r="F19" s="8">
        <v>1.32</v>
      </c>
      <c r="G19" s="12">
        <v>37</v>
      </c>
      <c r="H19" s="8">
        <v>4.04</v>
      </c>
      <c r="I19" s="12">
        <v>0</v>
      </c>
    </row>
    <row r="20" spans="2:9" ht="15" customHeight="1" x14ac:dyDescent="0.2">
      <c r="B20" s="9" t="s">
        <v>248</v>
      </c>
      <c r="C20" s="12">
        <f>SUM(LTBL_12222[総数／事業所数])</f>
        <v>1678</v>
      </c>
      <c r="E20" s="12">
        <f>SUBTOTAL(109,LTBL_12222[個人／事業所数])</f>
        <v>757</v>
      </c>
      <c r="G20" s="12">
        <f>SUBTOTAL(109,LTBL_12222[法人／事業所数])</f>
        <v>916</v>
      </c>
      <c r="I20" s="12">
        <f>SUBTOTAL(109,LTBL_12222[法人以外の団体／事業所数])</f>
        <v>3</v>
      </c>
    </row>
    <row r="21" spans="2:9" ht="15" customHeight="1" x14ac:dyDescent="0.2">
      <c r="E21" s="11">
        <f>LTBL_12222[[#Totals],[個人／事業所数]]/LTBL_12222[[#Totals],[総数／事業所数]]</f>
        <v>0.45113230035756852</v>
      </c>
      <c r="G21" s="11">
        <f>LTBL_12222[[#Totals],[法人／事業所数]]/LTBL_12222[[#Totals],[総数／事業所数]]</f>
        <v>0.5458879618593564</v>
      </c>
      <c r="I21" s="11">
        <f>LTBL_12222[[#Totals],[法人以外の団体／事業所数]]/LTBL_12222[[#Totals],[総数／事業所数]]</f>
        <v>1.7878426698450535E-3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190</v>
      </c>
      <c r="D24" s="8">
        <v>11.32</v>
      </c>
      <c r="E24" s="12">
        <v>160</v>
      </c>
      <c r="F24" s="8">
        <v>21.14</v>
      </c>
      <c r="G24" s="12">
        <v>30</v>
      </c>
      <c r="H24" s="8">
        <v>3.28</v>
      </c>
      <c r="I24" s="12">
        <v>0</v>
      </c>
    </row>
    <row r="25" spans="2:9" ht="15" customHeight="1" x14ac:dyDescent="0.2">
      <c r="B25" t="s">
        <v>94</v>
      </c>
      <c r="C25" s="12">
        <v>141</v>
      </c>
      <c r="D25" s="8">
        <v>8.4</v>
      </c>
      <c r="E25" s="12">
        <v>24</v>
      </c>
      <c r="F25" s="8">
        <v>3.17</v>
      </c>
      <c r="G25" s="12">
        <v>117</v>
      </c>
      <c r="H25" s="8">
        <v>12.77</v>
      </c>
      <c r="I25" s="12">
        <v>0</v>
      </c>
    </row>
    <row r="26" spans="2:9" ht="15" customHeight="1" x14ac:dyDescent="0.2">
      <c r="B26" t="s">
        <v>97</v>
      </c>
      <c r="C26" s="12">
        <v>139</v>
      </c>
      <c r="D26" s="8">
        <v>8.2799999999999994</v>
      </c>
      <c r="E26" s="12">
        <v>116</v>
      </c>
      <c r="F26" s="8">
        <v>15.32</v>
      </c>
      <c r="G26" s="12">
        <v>23</v>
      </c>
      <c r="H26" s="8">
        <v>2.5099999999999998</v>
      </c>
      <c r="I26" s="12">
        <v>0</v>
      </c>
    </row>
    <row r="27" spans="2:9" ht="15" customHeight="1" x14ac:dyDescent="0.2">
      <c r="B27" t="s">
        <v>100</v>
      </c>
      <c r="C27" s="12">
        <v>107</v>
      </c>
      <c r="D27" s="8">
        <v>6.38</v>
      </c>
      <c r="E27" s="12">
        <v>75</v>
      </c>
      <c r="F27" s="8">
        <v>9.91</v>
      </c>
      <c r="G27" s="12">
        <v>32</v>
      </c>
      <c r="H27" s="8">
        <v>3.49</v>
      </c>
      <c r="I27" s="12">
        <v>0</v>
      </c>
    </row>
    <row r="28" spans="2:9" ht="15" customHeight="1" x14ac:dyDescent="0.2">
      <c r="B28" t="s">
        <v>101</v>
      </c>
      <c r="C28" s="12">
        <v>102</v>
      </c>
      <c r="D28" s="8">
        <v>6.08</v>
      </c>
      <c r="E28" s="12">
        <v>84</v>
      </c>
      <c r="F28" s="8">
        <v>11.1</v>
      </c>
      <c r="G28" s="12">
        <v>18</v>
      </c>
      <c r="H28" s="8">
        <v>1.97</v>
      </c>
      <c r="I28" s="12">
        <v>0</v>
      </c>
    </row>
    <row r="29" spans="2:9" ht="15" customHeight="1" x14ac:dyDescent="0.2">
      <c r="B29" t="s">
        <v>84</v>
      </c>
      <c r="C29" s="12">
        <v>99</v>
      </c>
      <c r="D29" s="8">
        <v>5.9</v>
      </c>
      <c r="E29" s="12">
        <v>14</v>
      </c>
      <c r="F29" s="8">
        <v>1.85</v>
      </c>
      <c r="G29" s="12">
        <v>85</v>
      </c>
      <c r="H29" s="8">
        <v>9.2799999999999994</v>
      </c>
      <c r="I29" s="12">
        <v>0</v>
      </c>
    </row>
    <row r="30" spans="2:9" ht="15" customHeight="1" x14ac:dyDescent="0.2">
      <c r="B30" t="s">
        <v>92</v>
      </c>
      <c r="C30" s="12">
        <v>97</v>
      </c>
      <c r="D30" s="8">
        <v>5.78</v>
      </c>
      <c r="E30" s="12">
        <v>47</v>
      </c>
      <c r="F30" s="8">
        <v>6.21</v>
      </c>
      <c r="G30" s="12">
        <v>50</v>
      </c>
      <c r="H30" s="8">
        <v>5.46</v>
      </c>
      <c r="I30" s="12">
        <v>0</v>
      </c>
    </row>
    <row r="31" spans="2:9" ht="15" customHeight="1" x14ac:dyDescent="0.2">
      <c r="B31" t="s">
        <v>90</v>
      </c>
      <c r="C31" s="12">
        <v>78</v>
      </c>
      <c r="D31" s="8">
        <v>4.6500000000000004</v>
      </c>
      <c r="E31" s="12">
        <v>47</v>
      </c>
      <c r="F31" s="8">
        <v>6.21</v>
      </c>
      <c r="G31" s="12">
        <v>30</v>
      </c>
      <c r="H31" s="8">
        <v>3.28</v>
      </c>
      <c r="I31" s="12">
        <v>1</v>
      </c>
    </row>
    <row r="32" spans="2:9" ht="15" customHeight="1" x14ac:dyDescent="0.2">
      <c r="B32" t="s">
        <v>95</v>
      </c>
      <c r="C32" s="12">
        <v>70</v>
      </c>
      <c r="D32" s="8">
        <v>4.17</v>
      </c>
      <c r="E32" s="12">
        <v>31</v>
      </c>
      <c r="F32" s="8">
        <v>4.0999999999999996</v>
      </c>
      <c r="G32" s="12">
        <v>39</v>
      </c>
      <c r="H32" s="8">
        <v>4.26</v>
      </c>
      <c r="I32" s="12">
        <v>0</v>
      </c>
    </row>
    <row r="33" spans="2:9" ht="15" customHeight="1" x14ac:dyDescent="0.2">
      <c r="B33" t="s">
        <v>86</v>
      </c>
      <c r="C33" s="12">
        <v>69</v>
      </c>
      <c r="D33" s="8">
        <v>4.1100000000000003</v>
      </c>
      <c r="E33" s="12">
        <v>8</v>
      </c>
      <c r="F33" s="8">
        <v>1.06</v>
      </c>
      <c r="G33" s="12">
        <v>61</v>
      </c>
      <c r="H33" s="8">
        <v>6.66</v>
      </c>
      <c r="I33" s="12">
        <v>0</v>
      </c>
    </row>
    <row r="34" spans="2:9" ht="15" customHeight="1" x14ac:dyDescent="0.2">
      <c r="B34" t="s">
        <v>85</v>
      </c>
      <c r="C34" s="12">
        <v>68</v>
      </c>
      <c r="D34" s="8">
        <v>4.05</v>
      </c>
      <c r="E34" s="12">
        <v>23</v>
      </c>
      <c r="F34" s="8">
        <v>3.04</v>
      </c>
      <c r="G34" s="12">
        <v>45</v>
      </c>
      <c r="H34" s="8">
        <v>4.91</v>
      </c>
      <c r="I34" s="12">
        <v>0</v>
      </c>
    </row>
    <row r="35" spans="2:9" ht="15" customHeight="1" x14ac:dyDescent="0.2">
      <c r="B35" t="s">
        <v>91</v>
      </c>
      <c r="C35" s="12">
        <v>48</v>
      </c>
      <c r="D35" s="8">
        <v>2.86</v>
      </c>
      <c r="E35" s="12">
        <v>25</v>
      </c>
      <c r="F35" s="8">
        <v>3.3</v>
      </c>
      <c r="G35" s="12">
        <v>23</v>
      </c>
      <c r="H35" s="8">
        <v>2.5099999999999998</v>
      </c>
      <c r="I35" s="12">
        <v>0</v>
      </c>
    </row>
    <row r="36" spans="2:9" ht="15" customHeight="1" x14ac:dyDescent="0.2">
      <c r="B36" t="s">
        <v>96</v>
      </c>
      <c r="C36" s="12">
        <v>40</v>
      </c>
      <c r="D36" s="8">
        <v>2.38</v>
      </c>
      <c r="E36" s="12">
        <v>14</v>
      </c>
      <c r="F36" s="8">
        <v>1.85</v>
      </c>
      <c r="G36" s="12">
        <v>26</v>
      </c>
      <c r="H36" s="8">
        <v>2.84</v>
      </c>
      <c r="I36" s="12">
        <v>0</v>
      </c>
    </row>
    <row r="37" spans="2:9" ht="15" customHeight="1" x14ac:dyDescent="0.2">
      <c r="B37" t="s">
        <v>108</v>
      </c>
      <c r="C37" s="12">
        <v>31</v>
      </c>
      <c r="D37" s="8">
        <v>1.85</v>
      </c>
      <c r="E37" s="12">
        <v>0</v>
      </c>
      <c r="F37" s="8">
        <v>0</v>
      </c>
      <c r="G37" s="12">
        <v>31</v>
      </c>
      <c r="H37" s="8">
        <v>3.38</v>
      </c>
      <c r="I37" s="12">
        <v>0</v>
      </c>
    </row>
    <row r="38" spans="2:9" ht="15" customHeight="1" x14ac:dyDescent="0.2">
      <c r="B38" t="s">
        <v>89</v>
      </c>
      <c r="C38" s="12">
        <v>29</v>
      </c>
      <c r="D38" s="8">
        <v>1.73</v>
      </c>
      <c r="E38" s="12">
        <v>9</v>
      </c>
      <c r="F38" s="8">
        <v>1.19</v>
      </c>
      <c r="G38" s="12">
        <v>19</v>
      </c>
      <c r="H38" s="8">
        <v>2.0699999999999998</v>
      </c>
      <c r="I38" s="12">
        <v>1</v>
      </c>
    </row>
    <row r="39" spans="2:9" ht="15" customHeight="1" x14ac:dyDescent="0.2">
      <c r="B39" t="s">
        <v>105</v>
      </c>
      <c r="C39" s="12">
        <v>29</v>
      </c>
      <c r="D39" s="8">
        <v>1.73</v>
      </c>
      <c r="E39" s="12">
        <v>4</v>
      </c>
      <c r="F39" s="8">
        <v>0.53</v>
      </c>
      <c r="G39" s="12">
        <v>25</v>
      </c>
      <c r="H39" s="8">
        <v>2.73</v>
      </c>
      <c r="I39" s="12">
        <v>0</v>
      </c>
    </row>
    <row r="40" spans="2:9" ht="15" customHeight="1" x14ac:dyDescent="0.2">
      <c r="B40" t="s">
        <v>99</v>
      </c>
      <c r="C40" s="12">
        <v>28</v>
      </c>
      <c r="D40" s="8">
        <v>1.67</v>
      </c>
      <c r="E40" s="12">
        <v>16</v>
      </c>
      <c r="F40" s="8">
        <v>2.11</v>
      </c>
      <c r="G40" s="12">
        <v>12</v>
      </c>
      <c r="H40" s="8">
        <v>1.31</v>
      </c>
      <c r="I40" s="12">
        <v>0</v>
      </c>
    </row>
    <row r="41" spans="2:9" ht="15" customHeight="1" x14ac:dyDescent="0.2">
      <c r="B41" t="s">
        <v>102</v>
      </c>
      <c r="C41" s="12">
        <v>28</v>
      </c>
      <c r="D41" s="8">
        <v>1.67</v>
      </c>
      <c r="E41" s="12">
        <v>1</v>
      </c>
      <c r="F41" s="8">
        <v>0.13</v>
      </c>
      <c r="G41" s="12">
        <v>24</v>
      </c>
      <c r="H41" s="8">
        <v>2.62</v>
      </c>
      <c r="I41" s="12">
        <v>1</v>
      </c>
    </row>
    <row r="42" spans="2:9" ht="15" customHeight="1" x14ac:dyDescent="0.2">
      <c r="B42" t="s">
        <v>104</v>
      </c>
      <c r="C42" s="12">
        <v>24</v>
      </c>
      <c r="D42" s="8">
        <v>1.43</v>
      </c>
      <c r="E42" s="12">
        <v>3</v>
      </c>
      <c r="F42" s="8">
        <v>0.4</v>
      </c>
      <c r="G42" s="12">
        <v>21</v>
      </c>
      <c r="H42" s="8">
        <v>2.29</v>
      </c>
      <c r="I42" s="12">
        <v>0</v>
      </c>
    </row>
    <row r="43" spans="2:9" ht="15" customHeight="1" x14ac:dyDescent="0.2">
      <c r="B43" t="s">
        <v>93</v>
      </c>
      <c r="C43" s="12">
        <v>24</v>
      </c>
      <c r="D43" s="8">
        <v>1.43</v>
      </c>
      <c r="E43" s="12">
        <v>0</v>
      </c>
      <c r="F43" s="8">
        <v>0</v>
      </c>
      <c r="G43" s="12">
        <v>24</v>
      </c>
      <c r="H43" s="8">
        <v>2.62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94</v>
      </c>
      <c r="D47" s="8">
        <v>5.6</v>
      </c>
      <c r="E47" s="12">
        <v>80</v>
      </c>
      <c r="F47" s="8">
        <v>10.57</v>
      </c>
      <c r="G47" s="12">
        <v>14</v>
      </c>
      <c r="H47" s="8">
        <v>1.53</v>
      </c>
      <c r="I47" s="12">
        <v>0</v>
      </c>
    </row>
    <row r="48" spans="2:9" ht="15" customHeight="1" x14ac:dyDescent="0.2">
      <c r="B48" t="s">
        <v>158</v>
      </c>
      <c r="C48" s="12">
        <v>80</v>
      </c>
      <c r="D48" s="8">
        <v>4.7699999999999996</v>
      </c>
      <c r="E48" s="12">
        <v>14</v>
      </c>
      <c r="F48" s="8">
        <v>1.85</v>
      </c>
      <c r="G48" s="12">
        <v>66</v>
      </c>
      <c r="H48" s="8">
        <v>7.21</v>
      </c>
      <c r="I48" s="12">
        <v>0</v>
      </c>
    </row>
    <row r="49" spans="2:9" ht="15" customHeight="1" x14ac:dyDescent="0.2">
      <c r="B49" t="s">
        <v>166</v>
      </c>
      <c r="C49" s="12">
        <v>73</v>
      </c>
      <c r="D49" s="8">
        <v>4.3499999999999996</v>
      </c>
      <c r="E49" s="12">
        <v>62</v>
      </c>
      <c r="F49" s="8">
        <v>8.19</v>
      </c>
      <c r="G49" s="12">
        <v>11</v>
      </c>
      <c r="H49" s="8">
        <v>1.2</v>
      </c>
      <c r="I49" s="12">
        <v>0</v>
      </c>
    </row>
    <row r="50" spans="2:9" ht="15" customHeight="1" x14ac:dyDescent="0.2">
      <c r="B50" t="s">
        <v>165</v>
      </c>
      <c r="C50" s="12">
        <v>68</v>
      </c>
      <c r="D50" s="8">
        <v>4.05</v>
      </c>
      <c r="E50" s="12">
        <v>48</v>
      </c>
      <c r="F50" s="8">
        <v>6.34</v>
      </c>
      <c r="G50" s="12">
        <v>20</v>
      </c>
      <c r="H50" s="8">
        <v>2.1800000000000002</v>
      </c>
      <c r="I50" s="12">
        <v>0</v>
      </c>
    </row>
    <row r="51" spans="2:9" ht="15" customHeight="1" x14ac:dyDescent="0.2">
      <c r="B51" t="s">
        <v>163</v>
      </c>
      <c r="C51" s="12">
        <v>62</v>
      </c>
      <c r="D51" s="8">
        <v>3.69</v>
      </c>
      <c r="E51" s="12">
        <v>58</v>
      </c>
      <c r="F51" s="8">
        <v>7.66</v>
      </c>
      <c r="G51" s="12">
        <v>4</v>
      </c>
      <c r="H51" s="8">
        <v>0.44</v>
      </c>
      <c r="I51" s="12">
        <v>0</v>
      </c>
    </row>
    <row r="52" spans="2:9" ht="15" customHeight="1" x14ac:dyDescent="0.2">
      <c r="B52" t="s">
        <v>161</v>
      </c>
      <c r="C52" s="12">
        <v>43</v>
      </c>
      <c r="D52" s="8">
        <v>2.56</v>
      </c>
      <c r="E52" s="12">
        <v>34</v>
      </c>
      <c r="F52" s="8">
        <v>4.49</v>
      </c>
      <c r="G52" s="12">
        <v>9</v>
      </c>
      <c r="H52" s="8">
        <v>0.98</v>
      </c>
      <c r="I52" s="12">
        <v>0</v>
      </c>
    </row>
    <row r="53" spans="2:9" ht="15" customHeight="1" x14ac:dyDescent="0.2">
      <c r="B53" t="s">
        <v>156</v>
      </c>
      <c r="C53" s="12">
        <v>36</v>
      </c>
      <c r="D53" s="8">
        <v>2.15</v>
      </c>
      <c r="E53" s="12">
        <v>21</v>
      </c>
      <c r="F53" s="8">
        <v>2.77</v>
      </c>
      <c r="G53" s="12">
        <v>15</v>
      </c>
      <c r="H53" s="8">
        <v>1.64</v>
      </c>
      <c r="I53" s="12">
        <v>0</v>
      </c>
    </row>
    <row r="54" spans="2:9" ht="15" customHeight="1" x14ac:dyDescent="0.2">
      <c r="B54" t="s">
        <v>162</v>
      </c>
      <c r="C54" s="12">
        <v>36</v>
      </c>
      <c r="D54" s="8">
        <v>2.15</v>
      </c>
      <c r="E54" s="12">
        <v>32</v>
      </c>
      <c r="F54" s="8">
        <v>4.2300000000000004</v>
      </c>
      <c r="G54" s="12">
        <v>4</v>
      </c>
      <c r="H54" s="8">
        <v>0.44</v>
      </c>
      <c r="I54" s="12">
        <v>0</v>
      </c>
    </row>
    <row r="55" spans="2:9" ht="15" customHeight="1" x14ac:dyDescent="0.2">
      <c r="B55" t="s">
        <v>152</v>
      </c>
      <c r="C55" s="12">
        <v>33</v>
      </c>
      <c r="D55" s="8">
        <v>1.97</v>
      </c>
      <c r="E55" s="12">
        <v>3</v>
      </c>
      <c r="F55" s="8">
        <v>0.4</v>
      </c>
      <c r="G55" s="12">
        <v>30</v>
      </c>
      <c r="H55" s="8">
        <v>3.28</v>
      </c>
      <c r="I55" s="12">
        <v>0</v>
      </c>
    </row>
    <row r="56" spans="2:9" ht="15" customHeight="1" x14ac:dyDescent="0.2">
      <c r="B56" t="s">
        <v>180</v>
      </c>
      <c r="C56" s="12">
        <v>33</v>
      </c>
      <c r="D56" s="8">
        <v>1.97</v>
      </c>
      <c r="E56" s="12">
        <v>26</v>
      </c>
      <c r="F56" s="8">
        <v>3.43</v>
      </c>
      <c r="G56" s="12">
        <v>7</v>
      </c>
      <c r="H56" s="8">
        <v>0.76</v>
      </c>
      <c r="I56" s="12">
        <v>0</v>
      </c>
    </row>
    <row r="57" spans="2:9" ht="15" customHeight="1" x14ac:dyDescent="0.2">
      <c r="B57" t="s">
        <v>154</v>
      </c>
      <c r="C57" s="12">
        <v>30</v>
      </c>
      <c r="D57" s="8">
        <v>1.79</v>
      </c>
      <c r="E57" s="12">
        <v>18</v>
      </c>
      <c r="F57" s="8">
        <v>2.38</v>
      </c>
      <c r="G57" s="12">
        <v>11</v>
      </c>
      <c r="H57" s="8">
        <v>1.2</v>
      </c>
      <c r="I57" s="12">
        <v>1</v>
      </c>
    </row>
    <row r="58" spans="2:9" ht="15" customHeight="1" x14ac:dyDescent="0.2">
      <c r="B58" t="s">
        <v>182</v>
      </c>
      <c r="C58" s="12">
        <v>29</v>
      </c>
      <c r="D58" s="8">
        <v>1.73</v>
      </c>
      <c r="E58" s="12">
        <v>0</v>
      </c>
      <c r="F58" s="8">
        <v>0</v>
      </c>
      <c r="G58" s="12">
        <v>29</v>
      </c>
      <c r="H58" s="8">
        <v>3.17</v>
      </c>
      <c r="I58" s="12">
        <v>0</v>
      </c>
    </row>
    <row r="59" spans="2:9" ht="15" customHeight="1" x14ac:dyDescent="0.2">
      <c r="B59" t="s">
        <v>150</v>
      </c>
      <c r="C59" s="12">
        <v>27</v>
      </c>
      <c r="D59" s="8">
        <v>1.61</v>
      </c>
      <c r="E59" s="12">
        <v>8</v>
      </c>
      <c r="F59" s="8">
        <v>1.06</v>
      </c>
      <c r="G59" s="12">
        <v>19</v>
      </c>
      <c r="H59" s="8">
        <v>2.0699999999999998</v>
      </c>
      <c r="I59" s="12">
        <v>0</v>
      </c>
    </row>
    <row r="60" spans="2:9" ht="15" customHeight="1" x14ac:dyDescent="0.2">
      <c r="B60" t="s">
        <v>151</v>
      </c>
      <c r="C60" s="12">
        <v>27</v>
      </c>
      <c r="D60" s="8">
        <v>1.61</v>
      </c>
      <c r="E60" s="12">
        <v>2</v>
      </c>
      <c r="F60" s="8">
        <v>0.26</v>
      </c>
      <c r="G60" s="12">
        <v>25</v>
      </c>
      <c r="H60" s="8">
        <v>2.73</v>
      </c>
      <c r="I60" s="12">
        <v>0</v>
      </c>
    </row>
    <row r="61" spans="2:9" ht="15" customHeight="1" x14ac:dyDescent="0.2">
      <c r="B61" t="s">
        <v>159</v>
      </c>
      <c r="C61" s="12">
        <v>27</v>
      </c>
      <c r="D61" s="8">
        <v>1.61</v>
      </c>
      <c r="E61" s="12">
        <v>0</v>
      </c>
      <c r="F61" s="8">
        <v>0</v>
      </c>
      <c r="G61" s="12">
        <v>27</v>
      </c>
      <c r="H61" s="8">
        <v>2.95</v>
      </c>
      <c r="I61" s="12">
        <v>0</v>
      </c>
    </row>
    <row r="62" spans="2:9" ht="15" customHeight="1" x14ac:dyDescent="0.2">
      <c r="B62" t="s">
        <v>155</v>
      </c>
      <c r="C62" s="12">
        <v>25</v>
      </c>
      <c r="D62" s="8">
        <v>1.49</v>
      </c>
      <c r="E62" s="12">
        <v>10</v>
      </c>
      <c r="F62" s="8">
        <v>1.32</v>
      </c>
      <c r="G62" s="12">
        <v>15</v>
      </c>
      <c r="H62" s="8">
        <v>1.64</v>
      </c>
      <c r="I62" s="12">
        <v>0</v>
      </c>
    </row>
    <row r="63" spans="2:9" ht="15" customHeight="1" x14ac:dyDescent="0.2">
      <c r="B63" t="s">
        <v>170</v>
      </c>
      <c r="C63" s="12">
        <v>24</v>
      </c>
      <c r="D63" s="8">
        <v>1.43</v>
      </c>
      <c r="E63" s="12">
        <v>21</v>
      </c>
      <c r="F63" s="8">
        <v>2.77</v>
      </c>
      <c r="G63" s="12">
        <v>3</v>
      </c>
      <c r="H63" s="8">
        <v>0.33</v>
      </c>
      <c r="I63" s="12">
        <v>0</v>
      </c>
    </row>
    <row r="64" spans="2:9" ht="15" customHeight="1" x14ac:dyDescent="0.2">
      <c r="B64" t="s">
        <v>195</v>
      </c>
      <c r="C64" s="12">
        <v>23</v>
      </c>
      <c r="D64" s="8">
        <v>1.37</v>
      </c>
      <c r="E64" s="12">
        <v>20</v>
      </c>
      <c r="F64" s="8">
        <v>2.64</v>
      </c>
      <c r="G64" s="12">
        <v>3</v>
      </c>
      <c r="H64" s="8">
        <v>0.33</v>
      </c>
      <c r="I64" s="12">
        <v>0</v>
      </c>
    </row>
    <row r="65" spans="2:9" ht="15" customHeight="1" x14ac:dyDescent="0.2">
      <c r="B65" t="s">
        <v>196</v>
      </c>
      <c r="C65" s="12">
        <v>22</v>
      </c>
      <c r="D65" s="8">
        <v>1.31</v>
      </c>
      <c r="E65" s="12">
        <v>7</v>
      </c>
      <c r="F65" s="8">
        <v>0.92</v>
      </c>
      <c r="G65" s="12">
        <v>15</v>
      </c>
      <c r="H65" s="8">
        <v>1.64</v>
      </c>
      <c r="I65" s="12">
        <v>0</v>
      </c>
    </row>
    <row r="66" spans="2:9" ht="15" customHeight="1" x14ac:dyDescent="0.2">
      <c r="B66" t="s">
        <v>153</v>
      </c>
      <c r="C66" s="12">
        <v>22</v>
      </c>
      <c r="D66" s="8">
        <v>1.31</v>
      </c>
      <c r="E66" s="12">
        <v>5</v>
      </c>
      <c r="F66" s="8">
        <v>0.66</v>
      </c>
      <c r="G66" s="12">
        <v>17</v>
      </c>
      <c r="H66" s="8">
        <v>1.86</v>
      </c>
      <c r="I66" s="12">
        <v>0</v>
      </c>
    </row>
    <row r="67" spans="2:9" ht="15" customHeight="1" x14ac:dyDescent="0.2">
      <c r="B67" t="s">
        <v>168</v>
      </c>
      <c r="C67" s="12">
        <v>22</v>
      </c>
      <c r="D67" s="8">
        <v>1.31</v>
      </c>
      <c r="E67" s="12">
        <v>10</v>
      </c>
      <c r="F67" s="8">
        <v>1.32</v>
      </c>
      <c r="G67" s="12">
        <v>12</v>
      </c>
      <c r="H67" s="8">
        <v>1.31</v>
      </c>
      <c r="I67" s="12">
        <v>0</v>
      </c>
    </row>
    <row r="68" spans="2:9" ht="15" customHeight="1" x14ac:dyDescent="0.2">
      <c r="B68" t="s">
        <v>178</v>
      </c>
      <c r="C68" s="12">
        <v>22</v>
      </c>
      <c r="D68" s="8">
        <v>1.31</v>
      </c>
      <c r="E68" s="12">
        <v>2</v>
      </c>
      <c r="F68" s="8">
        <v>0.26</v>
      </c>
      <c r="G68" s="12">
        <v>20</v>
      </c>
      <c r="H68" s="8">
        <v>2.1800000000000002</v>
      </c>
      <c r="I68" s="12">
        <v>0</v>
      </c>
    </row>
    <row r="70" spans="2:9" ht="15" customHeight="1" x14ac:dyDescent="0.2">
      <c r="B70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8820B-6316-4325-8FBB-D446355C9890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278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155</v>
      </c>
      <c r="D6" s="8">
        <v>13.64</v>
      </c>
      <c r="E6" s="12">
        <v>91</v>
      </c>
      <c r="F6" s="8">
        <v>13.02</v>
      </c>
      <c r="G6" s="12">
        <v>64</v>
      </c>
      <c r="H6" s="8">
        <v>15.24</v>
      </c>
      <c r="I6" s="12">
        <v>0</v>
      </c>
    </row>
    <row r="7" spans="2:9" ht="15" customHeight="1" x14ac:dyDescent="0.2">
      <c r="B7" t="s">
        <v>63</v>
      </c>
      <c r="C7" s="12">
        <v>69</v>
      </c>
      <c r="D7" s="8">
        <v>6.07</v>
      </c>
      <c r="E7" s="12">
        <v>22</v>
      </c>
      <c r="F7" s="8">
        <v>3.15</v>
      </c>
      <c r="G7" s="12">
        <v>47</v>
      </c>
      <c r="H7" s="8">
        <v>11.19</v>
      </c>
      <c r="I7" s="12">
        <v>0</v>
      </c>
    </row>
    <row r="8" spans="2:9" ht="15" customHeight="1" x14ac:dyDescent="0.2">
      <c r="B8" t="s">
        <v>64</v>
      </c>
      <c r="C8" s="12">
        <v>4</v>
      </c>
      <c r="D8" s="8">
        <v>0.35</v>
      </c>
      <c r="E8" s="12">
        <v>0</v>
      </c>
      <c r="F8" s="8">
        <v>0</v>
      </c>
      <c r="G8" s="12">
        <v>2</v>
      </c>
      <c r="H8" s="8">
        <v>0.48</v>
      </c>
      <c r="I8" s="12">
        <v>0</v>
      </c>
    </row>
    <row r="9" spans="2:9" ht="15" customHeight="1" x14ac:dyDescent="0.2">
      <c r="B9" t="s">
        <v>65</v>
      </c>
      <c r="C9" s="12">
        <v>7</v>
      </c>
      <c r="D9" s="8">
        <v>0.62</v>
      </c>
      <c r="E9" s="12">
        <v>0</v>
      </c>
      <c r="F9" s="8">
        <v>0</v>
      </c>
      <c r="G9" s="12">
        <v>7</v>
      </c>
      <c r="H9" s="8">
        <v>1.67</v>
      </c>
      <c r="I9" s="12">
        <v>0</v>
      </c>
    </row>
    <row r="10" spans="2:9" ht="15" customHeight="1" x14ac:dyDescent="0.2">
      <c r="B10" t="s">
        <v>66</v>
      </c>
      <c r="C10" s="12">
        <v>5</v>
      </c>
      <c r="D10" s="8">
        <v>0.44</v>
      </c>
      <c r="E10" s="12">
        <v>0</v>
      </c>
      <c r="F10" s="8">
        <v>0</v>
      </c>
      <c r="G10" s="12">
        <v>5</v>
      </c>
      <c r="H10" s="8">
        <v>1.19</v>
      </c>
      <c r="I10" s="12">
        <v>0</v>
      </c>
    </row>
    <row r="11" spans="2:9" ht="15" customHeight="1" x14ac:dyDescent="0.2">
      <c r="B11" t="s">
        <v>67</v>
      </c>
      <c r="C11" s="12">
        <v>270</v>
      </c>
      <c r="D11" s="8">
        <v>23.77</v>
      </c>
      <c r="E11" s="12">
        <v>150</v>
      </c>
      <c r="F11" s="8">
        <v>21.46</v>
      </c>
      <c r="G11" s="12">
        <v>120</v>
      </c>
      <c r="H11" s="8">
        <v>28.57</v>
      </c>
      <c r="I11" s="12">
        <v>0</v>
      </c>
    </row>
    <row r="12" spans="2:9" ht="15" customHeight="1" x14ac:dyDescent="0.2">
      <c r="B12" t="s">
        <v>68</v>
      </c>
      <c r="C12" s="12">
        <v>11</v>
      </c>
      <c r="D12" s="8">
        <v>0.97</v>
      </c>
      <c r="E12" s="12">
        <v>3</v>
      </c>
      <c r="F12" s="8">
        <v>0.43</v>
      </c>
      <c r="G12" s="12">
        <v>8</v>
      </c>
      <c r="H12" s="8">
        <v>1.9</v>
      </c>
      <c r="I12" s="12">
        <v>0</v>
      </c>
    </row>
    <row r="13" spans="2:9" ht="15" customHeight="1" x14ac:dyDescent="0.2">
      <c r="B13" t="s">
        <v>69</v>
      </c>
      <c r="C13" s="12">
        <v>107</v>
      </c>
      <c r="D13" s="8">
        <v>9.42</v>
      </c>
      <c r="E13" s="12">
        <v>65</v>
      </c>
      <c r="F13" s="8">
        <v>9.3000000000000007</v>
      </c>
      <c r="G13" s="12">
        <v>42</v>
      </c>
      <c r="H13" s="8">
        <v>10</v>
      </c>
      <c r="I13" s="12">
        <v>0</v>
      </c>
    </row>
    <row r="14" spans="2:9" ht="15" customHeight="1" x14ac:dyDescent="0.2">
      <c r="B14" t="s">
        <v>70</v>
      </c>
      <c r="C14" s="12">
        <v>43</v>
      </c>
      <c r="D14" s="8">
        <v>3.79</v>
      </c>
      <c r="E14" s="12">
        <v>23</v>
      </c>
      <c r="F14" s="8">
        <v>3.29</v>
      </c>
      <c r="G14" s="12">
        <v>19</v>
      </c>
      <c r="H14" s="8">
        <v>4.5199999999999996</v>
      </c>
      <c r="I14" s="12">
        <v>0</v>
      </c>
    </row>
    <row r="15" spans="2:9" ht="15" customHeight="1" x14ac:dyDescent="0.2">
      <c r="B15" t="s">
        <v>71</v>
      </c>
      <c r="C15" s="12">
        <v>216</v>
      </c>
      <c r="D15" s="8">
        <v>19.010000000000002</v>
      </c>
      <c r="E15" s="12">
        <v>183</v>
      </c>
      <c r="F15" s="8">
        <v>26.18</v>
      </c>
      <c r="G15" s="12">
        <v>33</v>
      </c>
      <c r="H15" s="8">
        <v>7.86</v>
      </c>
      <c r="I15" s="12">
        <v>0</v>
      </c>
    </row>
    <row r="16" spans="2:9" ht="15" customHeight="1" x14ac:dyDescent="0.2">
      <c r="B16" t="s">
        <v>72</v>
      </c>
      <c r="C16" s="12">
        <v>145</v>
      </c>
      <c r="D16" s="8">
        <v>12.76</v>
      </c>
      <c r="E16" s="12">
        <v>115</v>
      </c>
      <c r="F16" s="8">
        <v>16.45</v>
      </c>
      <c r="G16" s="12">
        <v>29</v>
      </c>
      <c r="H16" s="8">
        <v>6.9</v>
      </c>
      <c r="I16" s="12">
        <v>1</v>
      </c>
    </row>
    <row r="17" spans="2:9" ht="15" customHeight="1" x14ac:dyDescent="0.2">
      <c r="B17" t="s">
        <v>73</v>
      </c>
      <c r="C17" s="12">
        <v>36</v>
      </c>
      <c r="D17" s="8">
        <v>3.17</v>
      </c>
      <c r="E17" s="12">
        <v>18</v>
      </c>
      <c r="F17" s="8">
        <v>2.58</v>
      </c>
      <c r="G17" s="12">
        <v>7</v>
      </c>
      <c r="H17" s="8">
        <v>1.67</v>
      </c>
      <c r="I17" s="12">
        <v>0</v>
      </c>
    </row>
    <row r="18" spans="2:9" ht="15" customHeight="1" x14ac:dyDescent="0.2">
      <c r="B18" t="s">
        <v>74</v>
      </c>
      <c r="C18" s="12">
        <v>25</v>
      </c>
      <c r="D18" s="8">
        <v>2.2000000000000002</v>
      </c>
      <c r="E18" s="12">
        <v>12</v>
      </c>
      <c r="F18" s="8">
        <v>1.72</v>
      </c>
      <c r="G18" s="12">
        <v>12</v>
      </c>
      <c r="H18" s="8">
        <v>2.86</v>
      </c>
      <c r="I18" s="12">
        <v>0</v>
      </c>
    </row>
    <row r="19" spans="2:9" ht="15" customHeight="1" x14ac:dyDescent="0.2">
      <c r="B19" t="s">
        <v>75</v>
      </c>
      <c r="C19" s="12">
        <v>43</v>
      </c>
      <c r="D19" s="8">
        <v>3.79</v>
      </c>
      <c r="E19" s="12">
        <v>17</v>
      </c>
      <c r="F19" s="8">
        <v>2.4300000000000002</v>
      </c>
      <c r="G19" s="12">
        <v>25</v>
      </c>
      <c r="H19" s="8">
        <v>5.95</v>
      </c>
      <c r="I19" s="12">
        <v>0</v>
      </c>
    </row>
    <row r="20" spans="2:9" ht="15" customHeight="1" x14ac:dyDescent="0.2">
      <c r="B20" s="9" t="s">
        <v>248</v>
      </c>
      <c r="C20" s="12">
        <f>SUM(LTBL_12223[総数／事業所数])</f>
        <v>1136</v>
      </c>
      <c r="E20" s="12">
        <f>SUBTOTAL(109,LTBL_12223[個人／事業所数])</f>
        <v>699</v>
      </c>
      <c r="G20" s="12">
        <f>SUBTOTAL(109,LTBL_12223[法人／事業所数])</f>
        <v>420</v>
      </c>
      <c r="I20" s="12">
        <f>SUBTOTAL(109,LTBL_12223[法人以外の団体／事業所数])</f>
        <v>1</v>
      </c>
    </row>
    <row r="21" spans="2:9" ht="15" customHeight="1" x14ac:dyDescent="0.2">
      <c r="E21" s="11">
        <f>LTBL_12223[[#Totals],[個人／事業所数]]/LTBL_12223[[#Totals],[総数／事業所数]]</f>
        <v>0.61531690140845074</v>
      </c>
      <c r="G21" s="11">
        <f>LTBL_12223[[#Totals],[法人／事業所数]]/LTBL_12223[[#Totals],[総数／事業所数]]</f>
        <v>0.36971830985915494</v>
      </c>
      <c r="I21" s="11">
        <f>LTBL_12223[[#Totals],[法人以外の団体／事業所数]]/LTBL_12223[[#Totals],[総数／事業所数]]</f>
        <v>8.8028169014084509E-4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97</v>
      </c>
      <c r="C24" s="12">
        <v>174</v>
      </c>
      <c r="D24" s="8">
        <v>15.32</v>
      </c>
      <c r="E24" s="12">
        <v>156</v>
      </c>
      <c r="F24" s="8">
        <v>22.32</v>
      </c>
      <c r="G24" s="12">
        <v>18</v>
      </c>
      <c r="H24" s="8">
        <v>4.29</v>
      </c>
      <c r="I24" s="12">
        <v>0</v>
      </c>
    </row>
    <row r="25" spans="2:9" ht="15" customHeight="1" x14ac:dyDescent="0.2">
      <c r="B25" t="s">
        <v>98</v>
      </c>
      <c r="C25" s="12">
        <v>108</v>
      </c>
      <c r="D25" s="8">
        <v>9.51</v>
      </c>
      <c r="E25" s="12">
        <v>95</v>
      </c>
      <c r="F25" s="8">
        <v>13.59</v>
      </c>
      <c r="G25" s="12">
        <v>13</v>
      </c>
      <c r="H25" s="8">
        <v>3.1</v>
      </c>
      <c r="I25" s="12">
        <v>0</v>
      </c>
    </row>
    <row r="26" spans="2:9" ht="15" customHeight="1" x14ac:dyDescent="0.2">
      <c r="B26" t="s">
        <v>94</v>
      </c>
      <c r="C26" s="12">
        <v>91</v>
      </c>
      <c r="D26" s="8">
        <v>8.01</v>
      </c>
      <c r="E26" s="12">
        <v>62</v>
      </c>
      <c r="F26" s="8">
        <v>8.8699999999999992</v>
      </c>
      <c r="G26" s="12">
        <v>29</v>
      </c>
      <c r="H26" s="8">
        <v>6.9</v>
      </c>
      <c r="I26" s="12">
        <v>0</v>
      </c>
    </row>
    <row r="27" spans="2:9" ht="15" customHeight="1" x14ac:dyDescent="0.2">
      <c r="B27" t="s">
        <v>92</v>
      </c>
      <c r="C27" s="12">
        <v>85</v>
      </c>
      <c r="D27" s="8">
        <v>7.48</v>
      </c>
      <c r="E27" s="12">
        <v>44</v>
      </c>
      <c r="F27" s="8">
        <v>6.29</v>
      </c>
      <c r="G27" s="12">
        <v>41</v>
      </c>
      <c r="H27" s="8">
        <v>9.76</v>
      </c>
      <c r="I27" s="12">
        <v>0</v>
      </c>
    </row>
    <row r="28" spans="2:9" ht="15" customHeight="1" x14ac:dyDescent="0.2">
      <c r="B28" t="s">
        <v>90</v>
      </c>
      <c r="C28" s="12">
        <v>77</v>
      </c>
      <c r="D28" s="8">
        <v>6.78</v>
      </c>
      <c r="E28" s="12">
        <v>59</v>
      </c>
      <c r="F28" s="8">
        <v>8.44</v>
      </c>
      <c r="G28" s="12">
        <v>18</v>
      </c>
      <c r="H28" s="8">
        <v>4.29</v>
      </c>
      <c r="I28" s="12">
        <v>0</v>
      </c>
    </row>
    <row r="29" spans="2:9" ht="15" customHeight="1" x14ac:dyDescent="0.2">
      <c r="B29" t="s">
        <v>84</v>
      </c>
      <c r="C29" s="12">
        <v>73</v>
      </c>
      <c r="D29" s="8">
        <v>6.43</v>
      </c>
      <c r="E29" s="12">
        <v>41</v>
      </c>
      <c r="F29" s="8">
        <v>5.87</v>
      </c>
      <c r="G29" s="12">
        <v>32</v>
      </c>
      <c r="H29" s="8">
        <v>7.62</v>
      </c>
      <c r="I29" s="12">
        <v>0</v>
      </c>
    </row>
    <row r="30" spans="2:9" ht="15" customHeight="1" x14ac:dyDescent="0.2">
      <c r="B30" t="s">
        <v>85</v>
      </c>
      <c r="C30" s="12">
        <v>59</v>
      </c>
      <c r="D30" s="8">
        <v>5.19</v>
      </c>
      <c r="E30" s="12">
        <v>44</v>
      </c>
      <c r="F30" s="8">
        <v>6.29</v>
      </c>
      <c r="G30" s="12">
        <v>15</v>
      </c>
      <c r="H30" s="8">
        <v>3.57</v>
      </c>
      <c r="I30" s="12">
        <v>0</v>
      </c>
    </row>
    <row r="31" spans="2:9" ht="15" customHeight="1" x14ac:dyDescent="0.2">
      <c r="B31" t="s">
        <v>100</v>
      </c>
      <c r="C31" s="12">
        <v>36</v>
      </c>
      <c r="D31" s="8">
        <v>3.17</v>
      </c>
      <c r="E31" s="12">
        <v>18</v>
      </c>
      <c r="F31" s="8">
        <v>2.58</v>
      </c>
      <c r="G31" s="12">
        <v>7</v>
      </c>
      <c r="H31" s="8">
        <v>1.67</v>
      </c>
      <c r="I31" s="12">
        <v>0</v>
      </c>
    </row>
    <row r="32" spans="2:9" ht="15" customHeight="1" x14ac:dyDescent="0.2">
      <c r="B32" t="s">
        <v>111</v>
      </c>
      <c r="C32" s="12">
        <v>35</v>
      </c>
      <c r="D32" s="8">
        <v>3.08</v>
      </c>
      <c r="E32" s="12">
        <v>25</v>
      </c>
      <c r="F32" s="8">
        <v>3.58</v>
      </c>
      <c r="G32" s="12">
        <v>10</v>
      </c>
      <c r="H32" s="8">
        <v>2.38</v>
      </c>
      <c r="I32" s="12">
        <v>0</v>
      </c>
    </row>
    <row r="33" spans="2:9" ht="15" customHeight="1" x14ac:dyDescent="0.2">
      <c r="B33" t="s">
        <v>110</v>
      </c>
      <c r="C33" s="12">
        <v>30</v>
      </c>
      <c r="D33" s="8">
        <v>2.64</v>
      </c>
      <c r="E33" s="12">
        <v>8</v>
      </c>
      <c r="F33" s="8">
        <v>1.1399999999999999</v>
      </c>
      <c r="G33" s="12">
        <v>22</v>
      </c>
      <c r="H33" s="8">
        <v>5.24</v>
      </c>
      <c r="I33" s="12">
        <v>0</v>
      </c>
    </row>
    <row r="34" spans="2:9" ht="15" customHeight="1" x14ac:dyDescent="0.2">
      <c r="B34" t="s">
        <v>91</v>
      </c>
      <c r="C34" s="12">
        <v>25</v>
      </c>
      <c r="D34" s="8">
        <v>2.2000000000000002</v>
      </c>
      <c r="E34" s="12">
        <v>18</v>
      </c>
      <c r="F34" s="8">
        <v>2.58</v>
      </c>
      <c r="G34" s="12">
        <v>7</v>
      </c>
      <c r="H34" s="8">
        <v>1.67</v>
      </c>
      <c r="I34" s="12">
        <v>0</v>
      </c>
    </row>
    <row r="35" spans="2:9" ht="15" customHeight="1" x14ac:dyDescent="0.2">
      <c r="B35" t="s">
        <v>96</v>
      </c>
      <c r="C35" s="12">
        <v>25</v>
      </c>
      <c r="D35" s="8">
        <v>2.2000000000000002</v>
      </c>
      <c r="E35" s="12">
        <v>12</v>
      </c>
      <c r="F35" s="8">
        <v>1.72</v>
      </c>
      <c r="G35" s="12">
        <v>13</v>
      </c>
      <c r="H35" s="8">
        <v>3.1</v>
      </c>
      <c r="I35" s="12">
        <v>0</v>
      </c>
    </row>
    <row r="36" spans="2:9" ht="15" customHeight="1" x14ac:dyDescent="0.2">
      <c r="B36" t="s">
        <v>89</v>
      </c>
      <c r="C36" s="12">
        <v>24</v>
      </c>
      <c r="D36" s="8">
        <v>2.11</v>
      </c>
      <c r="E36" s="12">
        <v>9</v>
      </c>
      <c r="F36" s="8">
        <v>1.29</v>
      </c>
      <c r="G36" s="12">
        <v>15</v>
      </c>
      <c r="H36" s="8">
        <v>3.57</v>
      </c>
      <c r="I36" s="12">
        <v>0</v>
      </c>
    </row>
    <row r="37" spans="2:9" ht="15" customHeight="1" x14ac:dyDescent="0.2">
      <c r="B37" t="s">
        <v>86</v>
      </c>
      <c r="C37" s="12">
        <v>23</v>
      </c>
      <c r="D37" s="8">
        <v>2.02</v>
      </c>
      <c r="E37" s="12">
        <v>6</v>
      </c>
      <c r="F37" s="8">
        <v>0.86</v>
      </c>
      <c r="G37" s="12">
        <v>17</v>
      </c>
      <c r="H37" s="8">
        <v>4.05</v>
      </c>
      <c r="I37" s="12">
        <v>0</v>
      </c>
    </row>
    <row r="38" spans="2:9" ht="15" customHeight="1" x14ac:dyDescent="0.2">
      <c r="B38" t="s">
        <v>112</v>
      </c>
      <c r="C38" s="12">
        <v>22</v>
      </c>
      <c r="D38" s="8">
        <v>1.94</v>
      </c>
      <c r="E38" s="12">
        <v>14</v>
      </c>
      <c r="F38" s="8">
        <v>2</v>
      </c>
      <c r="G38" s="12">
        <v>8</v>
      </c>
      <c r="H38" s="8">
        <v>1.9</v>
      </c>
      <c r="I38" s="12">
        <v>0</v>
      </c>
    </row>
    <row r="39" spans="2:9" ht="15" customHeight="1" x14ac:dyDescent="0.2">
      <c r="B39" t="s">
        <v>109</v>
      </c>
      <c r="C39" s="12">
        <v>19</v>
      </c>
      <c r="D39" s="8">
        <v>1.67</v>
      </c>
      <c r="E39" s="12">
        <v>10</v>
      </c>
      <c r="F39" s="8">
        <v>1.43</v>
      </c>
      <c r="G39" s="12">
        <v>9</v>
      </c>
      <c r="H39" s="8">
        <v>2.14</v>
      </c>
      <c r="I39" s="12">
        <v>0</v>
      </c>
    </row>
    <row r="40" spans="2:9" ht="15" customHeight="1" x14ac:dyDescent="0.2">
      <c r="B40" t="s">
        <v>101</v>
      </c>
      <c r="C40" s="12">
        <v>17</v>
      </c>
      <c r="D40" s="8">
        <v>1.5</v>
      </c>
      <c r="E40" s="12">
        <v>12</v>
      </c>
      <c r="F40" s="8">
        <v>1.72</v>
      </c>
      <c r="G40" s="12">
        <v>5</v>
      </c>
      <c r="H40" s="8">
        <v>1.19</v>
      </c>
      <c r="I40" s="12">
        <v>0</v>
      </c>
    </row>
    <row r="41" spans="2:9" ht="15" customHeight="1" x14ac:dyDescent="0.2">
      <c r="B41" t="s">
        <v>103</v>
      </c>
      <c r="C41" s="12">
        <v>17</v>
      </c>
      <c r="D41" s="8">
        <v>1.5</v>
      </c>
      <c r="E41" s="12">
        <v>12</v>
      </c>
      <c r="F41" s="8">
        <v>1.72</v>
      </c>
      <c r="G41" s="12">
        <v>5</v>
      </c>
      <c r="H41" s="8">
        <v>1.19</v>
      </c>
      <c r="I41" s="12">
        <v>0</v>
      </c>
    </row>
    <row r="42" spans="2:9" ht="15" customHeight="1" x14ac:dyDescent="0.2">
      <c r="B42" t="s">
        <v>104</v>
      </c>
      <c r="C42" s="12">
        <v>16</v>
      </c>
      <c r="D42" s="8">
        <v>1.41</v>
      </c>
      <c r="E42" s="12">
        <v>4</v>
      </c>
      <c r="F42" s="8">
        <v>0.56999999999999995</v>
      </c>
      <c r="G42" s="12">
        <v>12</v>
      </c>
      <c r="H42" s="8">
        <v>2.86</v>
      </c>
      <c r="I42" s="12">
        <v>0</v>
      </c>
    </row>
    <row r="43" spans="2:9" ht="15" customHeight="1" x14ac:dyDescent="0.2">
      <c r="B43" t="s">
        <v>95</v>
      </c>
      <c r="C43" s="12">
        <v>16</v>
      </c>
      <c r="D43" s="8">
        <v>1.41</v>
      </c>
      <c r="E43" s="12">
        <v>11</v>
      </c>
      <c r="F43" s="8">
        <v>1.57</v>
      </c>
      <c r="G43" s="12">
        <v>5</v>
      </c>
      <c r="H43" s="8">
        <v>1.19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158</v>
      </c>
      <c r="C47" s="12">
        <v>73</v>
      </c>
      <c r="D47" s="8">
        <v>6.43</v>
      </c>
      <c r="E47" s="12">
        <v>58</v>
      </c>
      <c r="F47" s="8">
        <v>8.3000000000000007</v>
      </c>
      <c r="G47" s="12">
        <v>15</v>
      </c>
      <c r="H47" s="8">
        <v>3.57</v>
      </c>
      <c r="I47" s="12">
        <v>0</v>
      </c>
    </row>
    <row r="48" spans="2:9" ht="15" customHeight="1" x14ac:dyDescent="0.2">
      <c r="B48" t="s">
        <v>164</v>
      </c>
      <c r="C48" s="12">
        <v>55</v>
      </c>
      <c r="D48" s="8">
        <v>4.84</v>
      </c>
      <c r="E48" s="12">
        <v>48</v>
      </c>
      <c r="F48" s="8">
        <v>6.87</v>
      </c>
      <c r="G48" s="12">
        <v>7</v>
      </c>
      <c r="H48" s="8">
        <v>1.67</v>
      </c>
      <c r="I48" s="12">
        <v>0</v>
      </c>
    </row>
    <row r="49" spans="2:9" ht="15" customHeight="1" x14ac:dyDescent="0.2">
      <c r="B49" t="s">
        <v>161</v>
      </c>
      <c r="C49" s="12">
        <v>54</v>
      </c>
      <c r="D49" s="8">
        <v>4.75</v>
      </c>
      <c r="E49" s="12">
        <v>46</v>
      </c>
      <c r="F49" s="8">
        <v>6.58</v>
      </c>
      <c r="G49" s="12">
        <v>8</v>
      </c>
      <c r="H49" s="8">
        <v>1.9</v>
      </c>
      <c r="I49" s="12">
        <v>0</v>
      </c>
    </row>
    <row r="50" spans="2:9" ht="15" customHeight="1" x14ac:dyDescent="0.2">
      <c r="B50" t="s">
        <v>162</v>
      </c>
      <c r="C50" s="12">
        <v>45</v>
      </c>
      <c r="D50" s="8">
        <v>3.96</v>
      </c>
      <c r="E50" s="12">
        <v>43</v>
      </c>
      <c r="F50" s="8">
        <v>6.15</v>
      </c>
      <c r="G50" s="12">
        <v>2</v>
      </c>
      <c r="H50" s="8">
        <v>0.48</v>
      </c>
      <c r="I50" s="12">
        <v>0</v>
      </c>
    </row>
    <row r="51" spans="2:9" ht="15" customHeight="1" x14ac:dyDescent="0.2">
      <c r="B51" t="s">
        <v>163</v>
      </c>
      <c r="C51" s="12">
        <v>41</v>
      </c>
      <c r="D51" s="8">
        <v>3.61</v>
      </c>
      <c r="E51" s="12">
        <v>39</v>
      </c>
      <c r="F51" s="8">
        <v>5.58</v>
      </c>
      <c r="G51" s="12">
        <v>2</v>
      </c>
      <c r="H51" s="8">
        <v>0.48</v>
      </c>
      <c r="I51" s="12">
        <v>0</v>
      </c>
    </row>
    <row r="52" spans="2:9" ht="15" customHeight="1" x14ac:dyDescent="0.2">
      <c r="B52" t="s">
        <v>150</v>
      </c>
      <c r="C52" s="12">
        <v>28</v>
      </c>
      <c r="D52" s="8">
        <v>2.46</v>
      </c>
      <c r="E52" s="12">
        <v>23</v>
      </c>
      <c r="F52" s="8">
        <v>3.29</v>
      </c>
      <c r="G52" s="12">
        <v>5</v>
      </c>
      <c r="H52" s="8">
        <v>1.19</v>
      </c>
      <c r="I52" s="12">
        <v>0</v>
      </c>
    </row>
    <row r="53" spans="2:9" ht="15" customHeight="1" x14ac:dyDescent="0.2">
      <c r="B53" t="s">
        <v>194</v>
      </c>
      <c r="C53" s="12">
        <v>27</v>
      </c>
      <c r="D53" s="8">
        <v>2.38</v>
      </c>
      <c r="E53" s="12">
        <v>23</v>
      </c>
      <c r="F53" s="8">
        <v>3.29</v>
      </c>
      <c r="G53" s="12">
        <v>4</v>
      </c>
      <c r="H53" s="8">
        <v>0.95</v>
      </c>
      <c r="I53" s="12">
        <v>0</v>
      </c>
    </row>
    <row r="54" spans="2:9" ht="15" customHeight="1" x14ac:dyDescent="0.2">
      <c r="B54" t="s">
        <v>154</v>
      </c>
      <c r="C54" s="12">
        <v>26</v>
      </c>
      <c r="D54" s="8">
        <v>2.29</v>
      </c>
      <c r="E54" s="12">
        <v>21</v>
      </c>
      <c r="F54" s="8">
        <v>3</v>
      </c>
      <c r="G54" s="12">
        <v>5</v>
      </c>
      <c r="H54" s="8">
        <v>1.19</v>
      </c>
      <c r="I54" s="12">
        <v>0</v>
      </c>
    </row>
    <row r="55" spans="2:9" ht="15" customHeight="1" x14ac:dyDescent="0.2">
      <c r="B55" t="s">
        <v>156</v>
      </c>
      <c r="C55" s="12">
        <v>26</v>
      </c>
      <c r="D55" s="8">
        <v>2.29</v>
      </c>
      <c r="E55" s="12">
        <v>14</v>
      </c>
      <c r="F55" s="8">
        <v>2</v>
      </c>
      <c r="G55" s="12">
        <v>12</v>
      </c>
      <c r="H55" s="8">
        <v>2.86</v>
      </c>
      <c r="I55" s="12">
        <v>0</v>
      </c>
    </row>
    <row r="56" spans="2:9" ht="15" customHeight="1" x14ac:dyDescent="0.2">
      <c r="B56" t="s">
        <v>192</v>
      </c>
      <c r="C56" s="12">
        <v>22</v>
      </c>
      <c r="D56" s="8">
        <v>1.94</v>
      </c>
      <c r="E56" s="12">
        <v>20</v>
      </c>
      <c r="F56" s="8">
        <v>2.86</v>
      </c>
      <c r="G56" s="12">
        <v>2</v>
      </c>
      <c r="H56" s="8">
        <v>0.48</v>
      </c>
      <c r="I56" s="12">
        <v>0</v>
      </c>
    </row>
    <row r="57" spans="2:9" ht="15" customHeight="1" x14ac:dyDescent="0.2">
      <c r="B57" t="s">
        <v>190</v>
      </c>
      <c r="C57" s="12">
        <v>20</v>
      </c>
      <c r="D57" s="8">
        <v>1.76</v>
      </c>
      <c r="E57" s="12">
        <v>15</v>
      </c>
      <c r="F57" s="8">
        <v>2.15</v>
      </c>
      <c r="G57" s="12">
        <v>5</v>
      </c>
      <c r="H57" s="8">
        <v>1.19</v>
      </c>
      <c r="I57" s="12">
        <v>0</v>
      </c>
    </row>
    <row r="58" spans="2:9" ht="15" customHeight="1" x14ac:dyDescent="0.2">
      <c r="B58" t="s">
        <v>202</v>
      </c>
      <c r="C58" s="12">
        <v>20</v>
      </c>
      <c r="D58" s="8">
        <v>1.76</v>
      </c>
      <c r="E58" s="12">
        <v>13</v>
      </c>
      <c r="F58" s="8">
        <v>1.86</v>
      </c>
      <c r="G58" s="12">
        <v>7</v>
      </c>
      <c r="H58" s="8">
        <v>1.67</v>
      </c>
      <c r="I58" s="12">
        <v>0</v>
      </c>
    </row>
    <row r="59" spans="2:9" ht="15" customHeight="1" x14ac:dyDescent="0.2">
      <c r="B59" t="s">
        <v>193</v>
      </c>
      <c r="C59" s="12">
        <v>20</v>
      </c>
      <c r="D59" s="8">
        <v>1.76</v>
      </c>
      <c r="E59" s="12">
        <v>20</v>
      </c>
      <c r="F59" s="8">
        <v>2.86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149</v>
      </c>
      <c r="C60" s="12">
        <v>19</v>
      </c>
      <c r="D60" s="8">
        <v>1.67</v>
      </c>
      <c r="E60" s="12">
        <v>9</v>
      </c>
      <c r="F60" s="8">
        <v>1.29</v>
      </c>
      <c r="G60" s="12">
        <v>10</v>
      </c>
      <c r="H60" s="8">
        <v>2.38</v>
      </c>
      <c r="I60" s="12">
        <v>0</v>
      </c>
    </row>
    <row r="61" spans="2:9" ht="15" customHeight="1" x14ac:dyDescent="0.2">
      <c r="B61" t="s">
        <v>165</v>
      </c>
      <c r="C61" s="12">
        <v>19</v>
      </c>
      <c r="D61" s="8">
        <v>1.67</v>
      </c>
      <c r="E61" s="12">
        <v>15</v>
      </c>
      <c r="F61" s="8">
        <v>2.15</v>
      </c>
      <c r="G61" s="12">
        <v>4</v>
      </c>
      <c r="H61" s="8">
        <v>0.95</v>
      </c>
      <c r="I61" s="12">
        <v>0</v>
      </c>
    </row>
    <row r="62" spans="2:9" ht="15" customHeight="1" x14ac:dyDescent="0.2">
      <c r="B62" t="s">
        <v>187</v>
      </c>
      <c r="C62" s="12">
        <v>18</v>
      </c>
      <c r="D62" s="8">
        <v>1.58</v>
      </c>
      <c r="E62" s="12">
        <v>2</v>
      </c>
      <c r="F62" s="8">
        <v>0.28999999999999998</v>
      </c>
      <c r="G62" s="12">
        <v>16</v>
      </c>
      <c r="H62" s="8">
        <v>3.81</v>
      </c>
      <c r="I62" s="12">
        <v>0</v>
      </c>
    </row>
    <row r="63" spans="2:9" ht="15" customHeight="1" x14ac:dyDescent="0.2">
      <c r="B63" t="s">
        <v>200</v>
      </c>
      <c r="C63" s="12">
        <v>18</v>
      </c>
      <c r="D63" s="8">
        <v>1.58</v>
      </c>
      <c r="E63" s="12">
        <v>14</v>
      </c>
      <c r="F63" s="8">
        <v>2</v>
      </c>
      <c r="G63" s="12">
        <v>4</v>
      </c>
      <c r="H63" s="8">
        <v>0.95</v>
      </c>
      <c r="I63" s="12">
        <v>0</v>
      </c>
    </row>
    <row r="64" spans="2:9" ht="15" customHeight="1" x14ac:dyDescent="0.2">
      <c r="B64" t="s">
        <v>167</v>
      </c>
      <c r="C64" s="12">
        <v>17</v>
      </c>
      <c r="D64" s="8">
        <v>1.5</v>
      </c>
      <c r="E64" s="12">
        <v>12</v>
      </c>
      <c r="F64" s="8">
        <v>1.72</v>
      </c>
      <c r="G64" s="12">
        <v>5</v>
      </c>
      <c r="H64" s="8">
        <v>1.19</v>
      </c>
      <c r="I64" s="12">
        <v>0</v>
      </c>
    </row>
    <row r="65" spans="2:9" ht="15" customHeight="1" x14ac:dyDescent="0.2">
      <c r="B65" t="s">
        <v>195</v>
      </c>
      <c r="C65" s="12">
        <v>16</v>
      </c>
      <c r="D65" s="8">
        <v>1.41</v>
      </c>
      <c r="E65" s="12">
        <v>13</v>
      </c>
      <c r="F65" s="8">
        <v>1.86</v>
      </c>
      <c r="G65" s="12">
        <v>3</v>
      </c>
      <c r="H65" s="8">
        <v>0.71</v>
      </c>
      <c r="I65" s="12">
        <v>0</v>
      </c>
    </row>
    <row r="66" spans="2:9" ht="15" customHeight="1" x14ac:dyDescent="0.2">
      <c r="B66" t="s">
        <v>148</v>
      </c>
      <c r="C66" s="12">
        <v>15</v>
      </c>
      <c r="D66" s="8">
        <v>1.32</v>
      </c>
      <c r="E66" s="12">
        <v>3</v>
      </c>
      <c r="F66" s="8">
        <v>0.43</v>
      </c>
      <c r="G66" s="12">
        <v>12</v>
      </c>
      <c r="H66" s="8">
        <v>2.86</v>
      </c>
      <c r="I66" s="12">
        <v>0</v>
      </c>
    </row>
    <row r="67" spans="2:9" ht="15" customHeight="1" x14ac:dyDescent="0.2">
      <c r="B67" t="s">
        <v>160</v>
      </c>
      <c r="C67" s="12">
        <v>15</v>
      </c>
      <c r="D67" s="8">
        <v>1.32</v>
      </c>
      <c r="E67" s="12">
        <v>7</v>
      </c>
      <c r="F67" s="8">
        <v>1</v>
      </c>
      <c r="G67" s="12">
        <v>8</v>
      </c>
      <c r="H67" s="8">
        <v>1.9</v>
      </c>
      <c r="I67" s="12">
        <v>0</v>
      </c>
    </row>
    <row r="69" spans="2:9" ht="15" customHeight="1" x14ac:dyDescent="0.2">
      <c r="B69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01519-2223-4CB4-95A7-6F419EA045F6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279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323</v>
      </c>
      <c r="D6" s="8">
        <v>20.100000000000001</v>
      </c>
      <c r="E6" s="12">
        <v>48</v>
      </c>
      <c r="F6" s="8">
        <v>7.38</v>
      </c>
      <c r="G6" s="12">
        <v>275</v>
      </c>
      <c r="H6" s="8">
        <v>28.86</v>
      </c>
      <c r="I6" s="12">
        <v>0</v>
      </c>
    </row>
    <row r="7" spans="2:9" ht="15" customHeight="1" x14ac:dyDescent="0.2">
      <c r="B7" t="s">
        <v>63</v>
      </c>
      <c r="C7" s="12">
        <v>172</v>
      </c>
      <c r="D7" s="8">
        <v>10.7</v>
      </c>
      <c r="E7" s="12">
        <v>47</v>
      </c>
      <c r="F7" s="8">
        <v>7.23</v>
      </c>
      <c r="G7" s="12">
        <v>125</v>
      </c>
      <c r="H7" s="8">
        <v>13.12</v>
      </c>
      <c r="I7" s="12">
        <v>0</v>
      </c>
    </row>
    <row r="8" spans="2:9" ht="15" customHeight="1" x14ac:dyDescent="0.2">
      <c r="B8" t="s">
        <v>64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</v>
      </c>
      <c r="I8" s="12">
        <v>0</v>
      </c>
    </row>
    <row r="9" spans="2:9" ht="15" customHeight="1" x14ac:dyDescent="0.2">
      <c r="B9" t="s">
        <v>65</v>
      </c>
      <c r="C9" s="12">
        <v>21</v>
      </c>
      <c r="D9" s="8">
        <v>1.31</v>
      </c>
      <c r="E9" s="12">
        <v>0</v>
      </c>
      <c r="F9" s="8">
        <v>0</v>
      </c>
      <c r="G9" s="12">
        <v>21</v>
      </c>
      <c r="H9" s="8">
        <v>2.2000000000000002</v>
      </c>
      <c r="I9" s="12">
        <v>0</v>
      </c>
    </row>
    <row r="10" spans="2:9" ht="15" customHeight="1" x14ac:dyDescent="0.2">
      <c r="B10" t="s">
        <v>66</v>
      </c>
      <c r="C10" s="12">
        <v>18</v>
      </c>
      <c r="D10" s="8">
        <v>1.1200000000000001</v>
      </c>
      <c r="E10" s="12">
        <v>7</v>
      </c>
      <c r="F10" s="8">
        <v>1.08</v>
      </c>
      <c r="G10" s="12">
        <v>10</v>
      </c>
      <c r="H10" s="8">
        <v>1.05</v>
      </c>
      <c r="I10" s="12">
        <v>1</v>
      </c>
    </row>
    <row r="11" spans="2:9" ht="15" customHeight="1" x14ac:dyDescent="0.2">
      <c r="B11" t="s">
        <v>67</v>
      </c>
      <c r="C11" s="12">
        <v>274</v>
      </c>
      <c r="D11" s="8">
        <v>17.05</v>
      </c>
      <c r="E11" s="12">
        <v>103</v>
      </c>
      <c r="F11" s="8">
        <v>15.85</v>
      </c>
      <c r="G11" s="12">
        <v>171</v>
      </c>
      <c r="H11" s="8">
        <v>17.940000000000001</v>
      </c>
      <c r="I11" s="12">
        <v>0</v>
      </c>
    </row>
    <row r="12" spans="2:9" ht="15" customHeight="1" x14ac:dyDescent="0.2">
      <c r="B12" t="s">
        <v>68</v>
      </c>
      <c r="C12" s="12">
        <v>7</v>
      </c>
      <c r="D12" s="8">
        <v>0.44</v>
      </c>
      <c r="E12" s="12">
        <v>0</v>
      </c>
      <c r="F12" s="8">
        <v>0</v>
      </c>
      <c r="G12" s="12">
        <v>7</v>
      </c>
      <c r="H12" s="8">
        <v>0.73</v>
      </c>
      <c r="I12" s="12">
        <v>0</v>
      </c>
    </row>
    <row r="13" spans="2:9" ht="15" customHeight="1" x14ac:dyDescent="0.2">
      <c r="B13" t="s">
        <v>69</v>
      </c>
      <c r="C13" s="12">
        <v>114</v>
      </c>
      <c r="D13" s="8">
        <v>7.09</v>
      </c>
      <c r="E13" s="12">
        <v>16</v>
      </c>
      <c r="F13" s="8">
        <v>2.46</v>
      </c>
      <c r="G13" s="12">
        <v>98</v>
      </c>
      <c r="H13" s="8">
        <v>10.28</v>
      </c>
      <c r="I13" s="12">
        <v>0</v>
      </c>
    </row>
    <row r="14" spans="2:9" ht="15" customHeight="1" x14ac:dyDescent="0.2">
      <c r="B14" t="s">
        <v>70</v>
      </c>
      <c r="C14" s="12">
        <v>83</v>
      </c>
      <c r="D14" s="8">
        <v>5.16</v>
      </c>
      <c r="E14" s="12">
        <v>26</v>
      </c>
      <c r="F14" s="8">
        <v>4</v>
      </c>
      <c r="G14" s="12">
        <v>57</v>
      </c>
      <c r="H14" s="8">
        <v>5.98</v>
      </c>
      <c r="I14" s="12">
        <v>0</v>
      </c>
    </row>
    <row r="15" spans="2:9" ht="15" customHeight="1" x14ac:dyDescent="0.2">
      <c r="B15" t="s">
        <v>71</v>
      </c>
      <c r="C15" s="12">
        <v>150</v>
      </c>
      <c r="D15" s="8">
        <v>9.33</v>
      </c>
      <c r="E15" s="12">
        <v>121</v>
      </c>
      <c r="F15" s="8">
        <v>18.62</v>
      </c>
      <c r="G15" s="12">
        <v>29</v>
      </c>
      <c r="H15" s="8">
        <v>3.04</v>
      </c>
      <c r="I15" s="12">
        <v>0</v>
      </c>
    </row>
    <row r="16" spans="2:9" ht="15" customHeight="1" x14ac:dyDescent="0.2">
      <c r="B16" t="s">
        <v>72</v>
      </c>
      <c r="C16" s="12">
        <v>213</v>
      </c>
      <c r="D16" s="8">
        <v>13.25</v>
      </c>
      <c r="E16" s="12">
        <v>157</v>
      </c>
      <c r="F16" s="8">
        <v>24.15</v>
      </c>
      <c r="G16" s="12">
        <v>55</v>
      </c>
      <c r="H16" s="8">
        <v>5.77</v>
      </c>
      <c r="I16" s="12">
        <v>0</v>
      </c>
    </row>
    <row r="17" spans="2:9" ht="15" customHeight="1" x14ac:dyDescent="0.2">
      <c r="B17" t="s">
        <v>73</v>
      </c>
      <c r="C17" s="12">
        <v>58</v>
      </c>
      <c r="D17" s="8">
        <v>3.61</v>
      </c>
      <c r="E17" s="12">
        <v>39</v>
      </c>
      <c r="F17" s="8">
        <v>6</v>
      </c>
      <c r="G17" s="12">
        <v>19</v>
      </c>
      <c r="H17" s="8">
        <v>1.99</v>
      </c>
      <c r="I17" s="12">
        <v>0</v>
      </c>
    </row>
    <row r="18" spans="2:9" ht="15" customHeight="1" x14ac:dyDescent="0.2">
      <c r="B18" t="s">
        <v>74</v>
      </c>
      <c r="C18" s="12">
        <v>110</v>
      </c>
      <c r="D18" s="8">
        <v>6.85</v>
      </c>
      <c r="E18" s="12">
        <v>66</v>
      </c>
      <c r="F18" s="8">
        <v>10.15</v>
      </c>
      <c r="G18" s="12">
        <v>44</v>
      </c>
      <c r="H18" s="8">
        <v>4.62</v>
      </c>
      <c r="I18" s="12">
        <v>0</v>
      </c>
    </row>
    <row r="19" spans="2:9" ht="15" customHeight="1" x14ac:dyDescent="0.2">
      <c r="B19" t="s">
        <v>75</v>
      </c>
      <c r="C19" s="12">
        <v>63</v>
      </c>
      <c r="D19" s="8">
        <v>3.92</v>
      </c>
      <c r="E19" s="12">
        <v>20</v>
      </c>
      <c r="F19" s="8">
        <v>3.08</v>
      </c>
      <c r="G19" s="12">
        <v>41</v>
      </c>
      <c r="H19" s="8">
        <v>4.3</v>
      </c>
      <c r="I19" s="12">
        <v>0</v>
      </c>
    </row>
    <row r="20" spans="2:9" ht="15" customHeight="1" x14ac:dyDescent="0.2">
      <c r="B20" s="9" t="s">
        <v>248</v>
      </c>
      <c r="C20" s="12">
        <f>SUM(LTBL_12224[総数／事業所数])</f>
        <v>1607</v>
      </c>
      <c r="E20" s="12">
        <f>SUBTOTAL(109,LTBL_12224[個人／事業所数])</f>
        <v>650</v>
      </c>
      <c r="G20" s="12">
        <f>SUBTOTAL(109,LTBL_12224[法人／事業所数])</f>
        <v>953</v>
      </c>
      <c r="I20" s="12">
        <f>SUBTOTAL(109,LTBL_12224[法人以外の団体／事業所数])</f>
        <v>1</v>
      </c>
    </row>
    <row r="21" spans="2:9" ht="15" customHeight="1" x14ac:dyDescent="0.2">
      <c r="E21" s="11">
        <f>LTBL_12224[[#Totals],[個人／事業所数]]/LTBL_12224[[#Totals],[総数／事業所数]]</f>
        <v>0.40448039825762289</v>
      </c>
      <c r="G21" s="11">
        <f>LTBL_12224[[#Totals],[法人／事業所数]]/LTBL_12224[[#Totals],[総数／事業所数]]</f>
        <v>0.59303049159925325</v>
      </c>
      <c r="I21" s="11">
        <f>LTBL_12224[[#Totals],[法人以外の団体／事業所数]]/LTBL_12224[[#Totals],[総数／事業所数]]</f>
        <v>6.222775357809583E-4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178</v>
      </c>
      <c r="D24" s="8">
        <v>11.08</v>
      </c>
      <c r="E24" s="12">
        <v>143</v>
      </c>
      <c r="F24" s="8">
        <v>22</v>
      </c>
      <c r="G24" s="12">
        <v>34</v>
      </c>
      <c r="H24" s="8">
        <v>3.57</v>
      </c>
      <c r="I24" s="12">
        <v>0</v>
      </c>
    </row>
    <row r="25" spans="2:9" ht="15" customHeight="1" x14ac:dyDescent="0.2">
      <c r="B25" t="s">
        <v>97</v>
      </c>
      <c r="C25" s="12">
        <v>140</v>
      </c>
      <c r="D25" s="8">
        <v>8.7100000000000009</v>
      </c>
      <c r="E25" s="12">
        <v>119</v>
      </c>
      <c r="F25" s="8">
        <v>18.309999999999999</v>
      </c>
      <c r="G25" s="12">
        <v>21</v>
      </c>
      <c r="H25" s="8">
        <v>2.2000000000000002</v>
      </c>
      <c r="I25" s="12">
        <v>0</v>
      </c>
    </row>
    <row r="26" spans="2:9" ht="15" customHeight="1" x14ac:dyDescent="0.2">
      <c r="B26" t="s">
        <v>85</v>
      </c>
      <c r="C26" s="12">
        <v>123</v>
      </c>
      <c r="D26" s="8">
        <v>7.65</v>
      </c>
      <c r="E26" s="12">
        <v>20</v>
      </c>
      <c r="F26" s="8">
        <v>3.08</v>
      </c>
      <c r="G26" s="12">
        <v>103</v>
      </c>
      <c r="H26" s="8">
        <v>10.81</v>
      </c>
      <c r="I26" s="12">
        <v>0</v>
      </c>
    </row>
    <row r="27" spans="2:9" ht="15" customHeight="1" x14ac:dyDescent="0.2">
      <c r="B27" t="s">
        <v>84</v>
      </c>
      <c r="C27" s="12">
        <v>120</v>
      </c>
      <c r="D27" s="8">
        <v>7.47</v>
      </c>
      <c r="E27" s="12">
        <v>20</v>
      </c>
      <c r="F27" s="8">
        <v>3.08</v>
      </c>
      <c r="G27" s="12">
        <v>100</v>
      </c>
      <c r="H27" s="8">
        <v>10.49</v>
      </c>
      <c r="I27" s="12">
        <v>0</v>
      </c>
    </row>
    <row r="28" spans="2:9" ht="15" customHeight="1" x14ac:dyDescent="0.2">
      <c r="B28" t="s">
        <v>101</v>
      </c>
      <c r="C28" s="12">
        <v>82</v>
      </c>
      <c r="D28" s="8">
        <v>5.0999999999999996</v>
      </c>
      <c r="E28" s="12">
        <v>66</v>
      </c>
      <c r="F28" s="8">
        <v>10.15</v>
      </c>
      <c r="G28" s="12">
        <v>16</v>
      </c>
      <c r="H28" s="8">
        <v>1.68</v>
      </c>
      <c r="I28" s="12">
        <v>0</v>
      </c>
    </row>
    <row r="29" spans="2:9" ht="15" customHeight="1" x14ac:dyDescent="0.2">
      <c r="B29" t="s">
        <v>86</v>
      </c>
      <c r="C29" s="12">
        <v>80</v>
      </c>
      <c r="D29" s="8">
        <v>4.9800000000000004</v>
      </c>
      <c r="E29" s="12">
        <v>8</v>
      </c>
      <c r="F29" s="8">
        <v>1.23</v>
      </c>
      <c r="G29" s="12">
        <v>72</v>
      </c>
      <c r="H29" s="8">
        <v>7.56</v>
      </c>
      <c r="I29" s="12">
        <v>0</v>
      </c>
    </row>
    <row r="30" spans="2:9" ht="15" customHeight="1" x14ac:dyDescent="0.2">
      <c r="B30" t="s">
        <v>92</v>
      </c>
      <c r="C30" s="12">
        <v>79</v>
      </c>
      <c r="D30" s="8">
        <v>4.92</v>
      </c>
      <c r="E30" s="12">
        <v>33</v>
      </c>
      <c r="F30" s="8">
        <v>5.08</v>
      </c>
      <c r="G30" s="12">
        <v>46</v>
      </c>
      <c r="H30" s="8">
        <v>4.83</v>
      </c>
      <c r="I30" s="12">
        <v>0</v>
      </c>
    </row>
    <row r="31" spans="2:9" ht="15" customHeight="1" x14ac:dyDescent="0.2">
      <c r="B31" t="s">
        <v>94</v>
      </c>
      <c r="C31" s="12">
        <v>69</v>
      </c>
      <c r="D31" s="8">
        <v>4.29</v>
      </c>
      <c r="E31" s="12">
        <v>11</v>
      </c>
      <c r="F31" s="8">
        <v>1.69</v>
      </c>
      <c r="G31" s="12">
        <v>58</v>
      </c>
      <c r="H31" s="8">
        <v>6.09</v>
      </c>
      <c r="I31" s="12">
        <v>0</v>
      </c>
    </row>
    <row r="32" spans="2:9" ht="15" customHeight="1" x14ac:dyDescent="0.2">
      <c r="B32" t="s">
        <v>100</v>
      </c>
      <c r="C32" s="12">
        <v>58</v>
      </c>
      <c r="D32" s="8">
        <v>3.61</v>
      </c>
      <c r="E32" s="12">
        <v>39</v>
      </c>
      <c r="F32" s="8">
        <v>6</v>
      </c>
      <c r="G32" s="12">
        <v>19</v>
      </c>
      <c r="H32" s="8">
        <v>1.99</v>
      </c>
      <c r="I32" s="12">
        <v>0</v>
      </c>
    </row>
    <row r="33" spans="2:9" ht="15" customHeight="1" x14ac:dyDescent="0.2">
      <c r="B33" t="s">
        <v>90</v>
      </c>
      <c r="C33" s="12">
        <v>54</v>
      </c>
      <c r="D33" s="8">
        <v>3.36</v>
      </c>
      <c r="E33" s="12">
        <v>39</v>
      </c>
      <c r="F33" s="8">
        <v>6</v>
      </c>
      <c r="G33" s="12">
        <v>15</v>
      </c>
      <c r="H33" s="8">
        <v>1.57</v>
      </c>
      <c r="I33" s="12">
        <v>0</v>
      </c>
    </row>
    <row r="34" spans="2:9" ht="15" customHeight="1" x14ac:dyDescent="0.2">
      <c r="B34" t="s">
        <v>106</v>
      </c>
      <c r="C34" s="12">
        <v>41</v>
      </c>
      <c r="D34" s="8">
        <v>2.5499999999999998</v>
      </c>
      <c r="E34" s="12">
        <v>7</v>
      </c>
      <c r="F34" s="8">
        <v>1.08</v>
      </c>
      <c r="G34" s="12">
        <v>34</v>
      </c>
      <c r="H34" s="8">
        <v>3.57</v>
      </c>
      <c r="I34" s="12">
        <v>0</v>
      </c>
    </row>
    <row r="35" spans="2:9" ht="15" customHeight="1" x14ac:dyDescent="0.2">
      <c r="B35" t="s">
        <v>95</v>
      </c>
      <c r="C35" s="12">
        <v>41</v>
      </c>
      <c r="D35" s="8">
        <v>2.5499999999999998</v>
      </c>
      <c r="E35" s="12">
        <v>20</v>
      </c>
      <c r="F35" s="8">
        <v>3.08</v>
      </c>
      <c r="G35" s="12">
        <v>21</v>
      </c>
      <c r="H35" s="8">
        <v>2.2000000000000002</v>
      </c>
      <c r="I35" s="12">
        <v>0</v>
      </c>
    </row>
    <row r="36" spans="2:9" ht="15" customHeight="1" x14ac:dyDescent="0.2">
      <c r="B36" t="s">
        <v>96</v>
      </c>
      <c r="C36" s="12">
        <v>39</v>
      </c>
      <c r="D36" s="8">
        <v>2.4300000000000002</v>
      </c>
      <c r="E36" s="12">
        <v>6</v>
      </c>
      <c r="F36" s="8">
        <v>0.92</v>
      </c>
      <c r="G36" s="12">
        <v>33</v>
      </c>
      <c r="H36" s="8">
        <v>3.46</v>
      </c>
      <c r="I36" s="12">
        <v>0</v>
      </c>
    </row>
    <row r="37" spans="2:9" ht="15" customHeight="1" x14ac:dyDescent="0.2">
      <c r="B37" t="s">
        <v>93</v>
      </c>
      <c r="C37" s="12">
        <v>37</v>
      </c>
      <c r="D37" s="8">
        <v>2.2999999999999998</v>
      </c>
      <c r="E37" s="12">
        <v>3</v>
      </c>
      <c r="F37" s="8">
        <v>0.46</v>
      </c>
      <c r="G37" s="12">
        <v>34</v>
      </c>
      <c r="H37" s="8">
        <v>3.57</v>
      </c>
      <c r="I37" s="12">
        <v>0</v>
      </c>
    </row>
    <row r="38" spans="2:9" ht="15" customHeight="1" x14ac:dyDescent="0.2">
      <c r="B38" t="s">
        <v>91</v>
      </c>
      <c r="C38" s="12">
        <v>32</v>
      </c>
      <c r="D38" s="8">
        <v>1.99</v>
      </c>
      <c r="E38" s="12">
        <v>14</v>
      </c>
      <c r="F38" s="8">
        <v>2.15</v>
      </c>
      <c r="G38" s="12">
        <v>18</v>
      </c>
      <c r="H38" s="8">
        <v>1.89</v>
      </c>
      <c r="I38" s="12">
        <v>0</v>
      </c>
    </row>
    <row r="39" spans="2:9" ht="15" customHeight="1" x14ac:dyDescent="0.2">
      <c r="B39" t="s">
        <v>87</v>
      </c>
      <c r="C39" s="12">
        <v>29</v>
      </c>
      <c r="D39" s="8">
        <v>1.8</v>
      </c>
      <c r="E39" s="12">
        <v>1</v>
      </c>
      <c r="F39" s="8">
        <v>0.15</v>
      </c>
      <c r="G39" s="12">
        <v>28</v>
      </c>
      <c r="H39" s="8">
        <v>2.94</v>
      </c>
      <c r="I39" s="12">
        <v>0</v>
      </c>
    </row>
    <row r="40" spans="2:9" ht="15" customHeight="1" x14ac:dyDescent="0.2">
      <c r="B40" t="s">
        <v>102</v>
      </c>
      <c r="C40" s="12">
        <v>28</v>
      </c>
      <c r="D40" s="8">
        <v>1.74</v>
      </c>
      <c r="E40" s="12">
        <v>0</v>
      </c>
      <c r="F40" s="8">
        <v>0</v>
      </c>
      <c r="G40" s="12">
        <v>28</v>
      </c>
      <c r="H40" s="8">
        <v>2.94</v>
      </c>
      <c r="I40" s="12">
        <v>0</v>
      </c>
    </row>
    <row r="41" spans="2:9" ht="15" customHeight="1" x14ac:dyDescent="0.2">
      <c r="B41" t="s">
        <v>117</v>
      </c>
      <c r="C41" s="12">
        <v>27</v>
      </c>
      <c r="D41" s="8">
        <v>1.68</v>
      </c>
      <c r="E41" s="12">
        <v>7</v>
      </c>
      <c r="F41" s="8">
        <v>1.08</v>
      </c>
      <c r="G41" s="12">
        <v>20</v>
      </c>
      <c r="H41" s="8">
        <v>2.1</v>
      </c>
      <c r="I41" s="12">
        <v>0</v>
      </c>
    </row>
    <row r="42" spans="2:9" ht="15" customHeight="1" x14ac:dyDescent="0.2">
      <c r="B42" t="s">
        <v>99</v>
      </c>
      <c r="C42" s="12">
        <v>24</v>
      </c>
      <c r="D42" s="8">
        <v>1.49</v>
      </c>
      <c r="E42" s="12">
        <v>8</v>
      </c>
      <c r="F42" s="8">
        <v>1.23</v>
      </c>
      <c r="G42" s="12">
        <v>16</v>
      </c>
      <c r="H42" s="8">
        <v>1.68</v>
      </c>
      <c r="I42" s="12">
        <v>0</v>
      </c>
    </row>
    <row r="43" spans="2:9" ht="15" customHeight="1" x14ac:dyDescent="0.2">
      <c r="B43" t="s">
        <v>103</v>
      </c>
      <c r="C43" s="12">
        <v>24</v>
      </c>
      <c r="D43" s="8">
        <v>1.49</v>
      </c>
      <c r="E43" s="12">
        <v>13</v>
      </c>
      <c r="F43" s="8">
        <v>2</v>
      </c>
      <c r="G43" s="12">
        <v>11</v>
      </c>
      <c r="H43" s="8">
        <v>1.1499999999999999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82</v>
      </c>
      <c r="D47" s="8">
        <v>5.0999999999999996</v>
      </c>
      <c r="E47" s="12">
        <v>66</v>
      </c>
      <c r="F47" s="8">
        <v>10.15</v>
      </c>
      <c r="G47" s="12">
        <v>16</v>
      </c>
      <c r="H47" s="8">
        <v>1.68</v>
      </c>
      <c r="I47" s="12">
        <v>0</v>
      </c>
    </row>
    <row r="48" spans="2:9" ht="15" customHeight="1" x14ac:dyDescent="0.2">
      <c r="B48" t="s">
        <v>163</v>
      </c>
      <c r="C48" s="12">
        <v>64</v>
      </c>
      <c r="D48" s="8">
        <v>3.98</v>
      </c>
      <c r="E48" s="12">
        <v>59</v>
      </c>
      <c r="F48" s="8">
        <v>9.08</v>
      </c>
      <c r="G48" s="12">
        <v>5</v>
      </c>
      <c r="H48" s="8">
        <v>0.52</v>
      </c>
      <c r="I48" s="12">
        <v>0</v>
      </c>
    </row>
    <row r="49" spans="2:9" ht="15" customHeight="1" x14ac:dyDescent="0.2">
      <c r="B49" t="s">
        <v>166</v>
      </c>
      <c r="C49" s="12">
        <v>61</v>
      </c>
      <c r="D49" s="8">
        <v>3.8</v>
      </c>
      <c r="E49" s="12">
        <v>52</v>
      </c>
      <c r="F49" s="8">
        <v>8</v>
      </c>
      <c r="G49" s="12">
        <v>9</v>
      </c>
      <c r="H49" s="8">
        <v>0.94</v>
      </c>
      <c r="I49" s="12">
        <v>0</v>
      </c>
    </row>
    <row r="50" spans="2:9" ht="15" customHeight="1" x14ac:dyDescent="0.2">
      <c r="B50" t="s">
        <v>161</v>
      </c>
      <c r="C50" s="12">
        <v>48</v>
      </c>
      <c r="D50" s="8">
        <v>2.99</v>
      </c>
      <c r="E50" s="12">
        <v>41</v>
      </c>
      <c r="F50" s="8">
        <v>6.31</v>
      </c>
      <c r="G50" s="12">
        <v>7</v>
      </c>
      <c r="H50" s="8">
        <v>0.73</v>
      </c>
      <c r="I50" s="12">
        <v>0</v>
      </c>
    </row>
    <row r="51" spans="2:9" ht="15" customHeight="1" x14ac:dyDescent="0.2">
      <c r="B51" t="s">
        <v>162</v>
      </c>
      <c r="C51" s="12">
        <v>45</v>
      </c>
      <c r="D51" s="8">
        <v>2.8</v>
      </c>
      <c r="E51" s="12">
        <v>43</v>
      </c>
      <c r="F51" s="8">
        <v>6.62</v>
      </c>
      <c r="G51" s="12">
        <v>2</v>
      </c>
      <c r="H51" s="8">
        <v>0.21</v>
      </c>
      <c r="I51" s="12">
        <v>0</v>
      </c>
    </row>
    <row r="52" spans="2:9" ht="15" customHeight="1" x14ac:dyDescent="0.2">
      <c r="B52" t="s">
        <v>153</v>
      </c>
      <c r="C52" s="12">
        <v>37</v>
      </c>
      <c r="D52" s="8">
        <v>2.2999999999999998</v>
      </c>
      <c r="E52" s="12">
        <v>4</v>
      </c>
      <c r="F52" s="8">
        <v>0.62</v>
      </c>
      <c r="G52" s="12">
        <v>33</v>
      </c>
      <c r="H52" s="8">
        <v>3.46</v>
      </c>
      <c r="I52" s="12">
        <v>0</v>
      </c>
    </row>
    <row r="53" spans="2:9" ht="15" customHeight="1" x14ac:dyDescent="0.2">
      <c r="B53" t="s">
        <v>158</v>
      </c>
      <c r="C53" s="12">
        <v>37</v>
      </c>
      <c r="D53" s="8">
        <v>2.2999999999999998</v>
      </c>
      <c r="E53" s="12">
        <v>7</v>
      </c>
      <c r="F53" s="8">
        <v>1.08</v>
      </c>
      <c r="G53" s="12">
        <v>30</v>
      </c>
      <c r="H53" s="8">
        <v>3.15</v>
      </c>
      <c r="I53" s="12">
        <v>0</v>
      </c>
    </row>
    <row r="54" spans="2:9" ht="15" customHeight="1" x14ac:dyDescent="0.2">
      <c r="B54" t="s">
        <v>151</v>
      </c>
      <c r="C54" s="12">
        <v>32</v>
      </c>
      <c r="D54" s="8">
        <v>1.99</v>
      </c>
      <c r="E54" s="12">
        <v>8</v>
      </c>
      <c r="F54" s="8">
        <v>1.23</v>
      </c>
      <c r="G54" s="12">
        <v>24</v>
      </c>
      <c r="H54" s="8">
        <v>2.52</v>
      </c>
      <c r="I54" s="12">
        <v>0</v>
      </c>
    </row>
    <row r="55" spans="2:9" ht="15" customHeight="1" x14ac:dyDescent="0.2">
      <c r="B55" t="s">
        <v>165</v>
      </c>
      <c r="C55" s="12">
        <v>32</v>
      </c>
      <c r="D55" s="8">
        <v>1.99</v>
      </c>
      <c r="E55" s="12">
        <v>26</v>
      </c>
      <c r="F55" s="8">
        <v>4</v>
      </c>
      <c r="G55" s="12">
        <v>6</v>
      </c>
      <c r="H55" s="8">
        <v>0.63</v>
      </c>
      <c r="I55" s="12">
        <v>0</v>
      </c>
    </row>
    <row r="56" spans="2:9" ht="15" customHeight="1" x14ac:dyDescent="0.2">
      <c r="B56" t="s">
        <v>156</v>
      </c>
      <c r="C56" s="12">
        <v>31</v>
      </c>
      <c r="D56" s="8">
        <v>1.93</v>
      </c>
      <c r="E56" s="12">
        <v>16</v>
      </c>
      <c r="F56" s="8">
        <v>2.46</v>
      </c>
      <c r="G56" s="12">
        <v>15</v>
      </c>
      <c r="H56" s="8">
        <v>1.57</v>
      </c>
      <c r="I56" s="12">
        <v>0</v>
      </c>
    </row>
    <row r="57" spans="2:9" ht="15" customHeight="1" x14ac:dyDescent="0.2">
      <c r="B57" t="s">
        <v>149</v>
      </c>
      <c r="C57" s="12">
        <v>30</v>
      </c>
      <c r="D57" s="8">
        <v>1.87</v>
      </c>
      <c r="E57" s="12">
        <v>0</v>
      </c>
      <c r="F57" s="8">
        <v>0</v>
      </c>
      <c r="G57" s="12">
        <v>30</v>
      </c>
      <c r="H57" s="8">
        <v>3.15</v>
      </c>
      <c r="I57" s="12">
        <v>0</v>
      </c>
    </row>
    <row r="58" spans="2:9" ht="15" customHeight="1" x14ac:dyDescent="0.2">
      <c r="B58" t="s">
        <v>171</v>
      </c>
      <c r="C58" s="12">
        <v>30</v>
      </c>
      <c r="D58" s="8">
        <v>1.87</v>
      </c>
      <c r="E58" s="12">
        <v>3</v>
      </c>
      <c r="F58" s="8">
        <v>0.46</v>
      </c>
      <c r="G58" s="12">
        <v>27</v>
      </c>
      <c r="H58" s="8">
        <v>2.83</v>
      </c>
      <c r="I58" s="12">
        <v>0</v>
      </c>
    </row>
    <row r="59" spans="2:9" ht="15" customHeight="1" x14ac:dyDescent="0.2">
      <c r="B59" t="s">
        <v>148</v>
      </c>
      <c r="C59" s="12">
        <v>29</v>
      </c>
      <c r="D59" s="8">
        <v>1.8</v>
      </c>
      <c r="E59" s="12">
        <v>6</v>
      </c>
      <c r="F59" s="8">
        <v>0.92</v>
      </c>
      <c r="G59" s="12">
        <v>23</v>
      </c>
      <c r="H59" s="8">
        <v>2.41</v>
      </c>
      <c r="I59" s="12">
        <v>0</v>
      </c>
    </row>
    <row r="60" spans="2:9" ht="15" customHeight="1" x14ac:dyDescent="0.2">
      <c r="B60" t="s">
        <v>196</v>
      </c>
      <c r="C60" s="12">
        <v>26</v>
      </c>
      <c r="D60" s="8">
        <v>1.62</v>
      </c>
      <c r="E60" s="12">
        <v>7</v>
      </c>
      <c r="F60" s="8">
        <v>1.08</v>
      </c>
      <c r="G60" s="12">
        <v>19</v>
      </c>
      <c r="H60" s="8">
        <v>1.99</v>
      </c>
      <c r="I60" s="12">
        <v>0</v>
      </c>
    </row>
    <row r="61" spans="2:9" ht="15" customHeight="1" x14ac:dyDescent="0.2">
      <c r="B61" t="s">
        <v>150</v>
      </c>
      <c r="C61" s="12">
        <v>25</v>
      </c>
      <c r="D61" s="8">
        <v>1.56</v>
      </c>
      <c r="E61" s="12">
        <v>6</v>
      </c>
      <c r="F61" s="8">
        <v>0.92</v>
      </c>
      <c r="G61" s="12">
        <v>19</v>
      </c>
      <c r="H61" s="8">
        <v>1.99</v>
      </c>
      <c r="I61" s="12">
        <v>0</v>
      </c>
    </row>
    <row r="62" spans="2:9" ht="15" customHeight="1" x14ac:dyDescent="0.2">
      <c r="B62" t="s">
        <v>160</v>
      </c>
      <c r="C62" s="12">
        <v>25</v>
      </c>
      <c r="D62" s="8">
        <v>1.56</v>
      </c>
      <c r="E62" s="12">
        <v>2</v>
      </c>
      <c r="F62" s="8">
        <v>0.31</v>
      </c>
      <c r="G62" s="12">
        <v>23</v>
      </c>
      <c r="H62" s="8">
        <v>2.41</v>
      </c>
      <c r="I62" s="12">
        <v>0</v>
      </c>
    </row>
    <row r="63" spans="2:9" ht="15" customHeight="1" x14ac:dyDescent="0.2">
      <c r="B63" t="s">
        <v>152</v>
      </c>
      <c r="C63" s="12">
        <v>24</v>
      </c>
      <c r="D63" s="8">
        <v>1.49</v>
      </c>
      <c r="E63" s="12">
        <v>4</v>
      </c>
      <c r="F63" s="8">
        <v>0.62</v>
      </c>
      <c r="G63" s="12">
        <v>20</v>
      </c>
      <c r="H63" s="8">
        <v>2.1</v>
      </c>
      <c r="I63" s="12">
        <v>0</v>
      </c>
    </row>
    <row r="64" spans="2:9" ht="15" customHeight="1" x14ac:dyDescent="0.2">
      <c r="B64" t="s">
        <v>167</v>
      </c>
      <c r="C64" s="12">
        <v>24</v>
      </c>
      <c r="D64" s="8">
        <v>1.49</v>
      </c>
      <c r="E64" s="12">
        <v>13</v>
      </c>
      <c r="F64" s="8">
        <v>2</v>
      </c>
      <c r="G64" s="12">
        <v>11</v>
      </c>
      <c r="H64" s="8">
        <v>1.1499999999999999</v>
      </c>
      <c r="I64" s="12">
        <v>0</v>
      </c>
    </row>
    <row r="65" spans="2:9" ht="15" customHeight="1" x14ac:dyDescent="0.2">
      <c r="B65" t="s">
        <v>203</v>
      </c>
      <c r="C65" s="12">
        <v>23</v>
      </c>
      <c r="D65" s="8">
        <v>1.43</v>
      </c>
      <c r="E65" s="12">
        <v>3</v>
      </c>
      <c r="F65" s="8">
        <v>0.46</v>
      </c>
      <c r="G65" s="12">
        <v>20</v>
      </c>
      <c r="H65" s="8">
        <v>2.1</v>
      </c>
      <c r="I65" s="12">
        <v>0</v>
      </c>
    </row>
    <row r="66" spans="2:9" ht="15" customHeight="1" x14ac:dyDescent="0.2">
      <c r="B66" t="s">
        <v>154</v>
      </c>
      <c r="C66" s="12">
        <v>23</v>
      </c>
      <c r="D66" s="8">
        <v>1.43</v>
      </c>
      <c r="E66" s="12">
        <v>17</v>
      </c>
      <c r="F66" s="8">
        <v>2.62</v>
      </c>
      <c r="G66" s="12">
        <v>6</v>
      </c>
      <c r="H66" s="8">
        <v>0.63</v>
      </c>
      <c r="I66" s="12">
        <v>0</v>
      </c>
    </row>
    <row r="67" spans="2:9" ht="15" customHeight="1" x14ac:dyDescent="0.2">
      <c r="B67" t="s">
        <v>180</v>
      </c>
      <c r="C67" s="12">
        <v>23</v>
      </c>
      <c r="D67" s="8">
        <v>1.43</v>
      </c>
      <c r="E67" s="12">
        <v>13</v>
      </c>
      <c r="F67" s="8">
        <v>2</v>
      </c>
      <c r="G67" s="12">
        <v>10</v>
      </c>
      <c r="H67" s="8">
        <v>1.05</v>
      </c>
      <c r="I67" s="12">
        <v>0</v>
      </c>
    </row>
    <row r="69" spans="2:9" ht="15" customHeight="1" x14ac:dyDescent="0.2">
      <c r="B69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9F0CB-618C-409B-AD5C-284EC2EFFC3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280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2</v>
      </c>
      <c r="D5" s="8">
        <v>0.11</v>
      </c>
      <c r="E5" s="12">
        <v>0</v>
      </c>
      <c r="F5" s="8">
        <v>0</v>
      </c>
      <c r="G5" s="12">
        <v>2</v>
      </c>
      <c r="H5" s="8">
        <v>0.25</v>
      </c>
      <c r="I5" s="12">
        <v>0</v>
      </c>
    </row>
    <row r="6" spans="2:9" ht="15" customHeight="1" x14ac:dyDescent="0.2">
      <c r="B6" t="s">
        <v>62</v>
      </c>
      <c r="C6" s="12">
        <v>295</v>
      </c>
      <c r="D6" s="8">
        <v>16.510000000000002</v>
      </c>
      <c r="E6" s="12">
        <v>87</v>
      </c>
      <c r="F6" s="8">
        <v>8.92</v>
      </c>
      <c r="G6" s="12">
        <v>208</v>
      </c>
      <c r="H6" s="8">
        <v>26</v>
      </c>
      <c r="I6" s="12">
        <v>0</v>
      </c>
    </row>
    <row r="7" spans="2:9" ht="15" customHeight="1" x14ac:dyDescent="0.2">
      <c r="B7" t="s">
        <v>63</v>
      </c>
      <c r="C7" s="12">
        <v>79</v>
      </c>
      <c r="D7" s="8">
        <v>4.42</v>
      </c>
      <c r="E7" s="12">
        <v>23</v>
      </c>
      <c r="F7" s="8">
        <v>2.36</v>
      </c>
      <c r="G7" s="12">
        <v>56</v>
      </c>
      <c r="H7" s="8">
        <v>7</v>
      </c>
      <c r="I7" s="12">
        <v>0</v>
      </c>
    </row>
    <row r="8" spans="2:9" ht="15" customHeight="1" x14ac:dyDescent="0.2">
      <c r="B8" t="s">
        <v>64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0.13</v>
      </c>
      <c r="I8" s="12">
        <v>0</v>
      </c>
    </row>
    <row r="9" spans="2:9" ht="15" customHeight="1" x14ac:dyDescent="0.2">
      <c r="B9" t="s">
        <v>65</v>
      </c>
      <c r="C9" s="12">
        <v>5</v>
      </c>
      <c r="D9" s="8">
        <v>0.28000000000000003</v>
      </c>
      <c r="E9" s="12">
        <v>1</v>
      </c>
      <c r="F9" s="8">
        <v>0.1</v>
      </c>
      <c r="G9" s="12">
        <v>4</v>
      </c>
      <c r="H9" s="8">
        <v>0.5</v>
      </c>
      <c r="I9" s="12">
        <v>0</v>
      </c>
    </row>
    <row r="10" spans="2:9" ht="15" customHeight="1" x14ac:dyDescent="0.2">
      <c r="B10" t="s">
        <v>66</v>
      </c>
      <c r="C10" s="12">
        <v>20</v>
      </c>
      <c r="D10" s="8">
        <v>1.1200000000000001</v>
      </c>
      <c r="E10" s="12">
        <v>3</v>
      </c>
      <c r="F10" s="8">
        <v>0.31</v>
      </c>
      <c r="G10" s="12">
        <v>17</v>
      </c>
      <c r="H10" s="8">
        <v>2.13</v>
      </c>
      <c r="I10" s="12">
        <v>0</v>
      </c>
    </row>
    <row r="11" spans="2:9" ht="15" customHeight="1" x14ac:dyDescent="0.2">
      <c r="B11" t="s">
        <v>67</v>
      </c>
      <c r="C11" s="12">
        <v>313</v>
      </c>
      <c r="D11" s="8">
        <v>17.52</v>
      </c>
      <c r="E11" s="12">
        <v>125</v>
      </c>
      <c r="F11" s="8">
        <v>12.82</v>
      </c>
      <c r="G11" s="12">
        <v>188</v>
      </c>
      <c r="H11" s="8">
        <v>23.5</v>
      </c>
      <c r="I11" s="12">
        <v>0</v>
      </c>
    </row>
    <row r="12" spans="2:9" ht="15" customHeight="1" x14ac:dyDescent="0.2">
      <c r="B12" t="s">
        <v>68</v>
      </c>
      <c r="C12" s="12">
        <v>13</v>
      </c>
      <c r="D12" s="8">
        <v>0.73</v>
      </c>
      <c r="E12" s="12">
        <v>2</v>
      </c>
      <c r="F12" s="8">
        <v>0.21</v>
      </c>
      <c r="G12" s="12">
        <v>11</v>
      </c>
      <c r="H12" s="8">
        <v>1.38</v>
      </c>
      <c r="I12" s="12">
        <v>0</v>
      </c>
    </row>
    <row r="13" spans="2:9" ht="15" customHeight="1" x14ac:dyDescent="0.2">
      <c r="B13" t="s">
        <v>69</v>
      </c>
      <c r="C13" s="12">
        <v>166</v>
      </c>
      <c r="D13" s="8">
        <v>9.2899999999999991</v>
      </c>
      <c r="E13" s="12">
        <v>49</v>
      </c>
      <c r="F13" s="8">
        <v>5.03</v>
      </c>
      <c r="G13" s="12">
        <v>117</v>
      </c>
      <c r="H13" s="8">
        <v>14.63</v>
      </c>
      <c r="I13" s="12">
        <v>0</v>
      </c>
    </row>
    <row r="14" spans="2:9" ht="15" customHeight="1" x14ac:dyDescent="0.2">
      <c r="B14" t="s">
        <v>70</v>
      </c>
      <c r="C14" s="12">
        <v>74</v>
      </c>
      <c r="D14" s="8">
        <v>4.1399999999999997</v>
      </c>
      <c r="E14" s="12">
        <v>30</v>
      </c>
      <c r="F14" s="8">
        <v>3.08</v>
      </c>
      <c r="G14" s="12">
        <v>44</v>
      </c>
      <c r="H14" s="8">
        <v>5.5</v>
      </c>
      <c r="I14" s="12">
        <v>0</v>
      </c>
    </row>
    <row r="15" spans="2:9" ht="15" customHeight="1" x14ac:dyDescent="0.2">
      <c r="B15" t="s">
        <v>71</v>
      </c>
      <c r="C15" s="12">
        <v>357</v>
      </c>
      <c r="D15" s="8">
        <v>19.98</v>
      </c>
      <c r="E15" s="12">
        <v>315</v>
      </c>
      <c r="F15" s="8">
        <v>32.31</v>
      </c>
      <c r="G15" s="12">
        <v>41</v>
      </c>
      <c r="H15" s="8">
        <v>5.13</v>
      </c>
      <c r="I15" s="12">
        <v>1</v>
      </c>
    </row>
    <row r="16" spans="2:9" ht="15" customHeight="1" x14ac:dyDescent="0.2">
      <c r="B16" t="s">
        <v>72</v>
      </c>
      <c r="C16" s="12">
        <v>256</v>
      </c>
      <c r="D16" s="8">
        <v>14.33</v>
      </c>
      <c r="E16" s="12">
        <v>214</v>
      </c>
      <c r="F16" s="8">
        <v>21.95</v>
      </c>
      <c r="G16" s="12">
        <v>41</v>
      </c>
      <c r="H16" s="8">
        <v>5.13</v>
      </c>
      <c r="I16" s="12">
        <v>1</v>
      </c>
    </row>
    <row r="17" spans="2:9" ht="15" customHeight="1" x14ac:dyDescent="0.2">
      <c r="B17" t="s">
        <v>73</v>
      </c>
      <c r="C17" s="12">
        <v>64</v>
      </c>
      <c r="D17" s="8">
        <v>3.58</v>
      </c>
      <c r="E17" s="12">
        <v>48</v>
      </c>
      <c r="F17" s="8">
        <v>4.92</v>
      </c>
      <c r="G17" s="12">
        <v>14</v>
      </c>
      <c r="H17" s="8">
        <v>1.75</v>
      </c>
      <c r="I17" s="12">
        <v>0</v>
      </c>
    </row>
    <row r="18" spans="2:9" ht="15" customHeight="1" x14ac:dyDescent="0.2">
      <c r="B18" t="s">
        <v>74</v>
      </c>
      <c r="C18" s="12">
        <v>81</v>
      </c>
      <c r="D18" s="8">
        <v>4.53</v>
      </c>
      <c r="E18" s="12">
        <v>50</v>
      </c>
      <c r="F18" s="8">
        <v>5.13</v>
      </c>
      <c r="G18" s="12">
        <v>28</v>
      </c>
      <c r="H18" s="8">
        <v>3.5</v>
      </c>
      <c r="I18" s="12">
        <v>1</v>
      </c>
    </row>
    <row r="19" spans="2:9" ht="15" customHeight="1" x14ac:dyDescent="0.2">
      <c r="B19" t="s">
        <v>75</v>
      </c>
      <c r="C19" s="12">
        <v>61</v>
      </c>
      <c r="D19" s="8">
        <v>3.41</v>
      </c>
      <c r="E19" s="12">
        <v>28</v>
      </c>
      <c r="F19" s="8">
        <v>2.87</v>
      </c>
      <c r="G19" s="12">
        <v>28</v>
      </c>
      <c r="H19" s="8">
        <v>3.5</v>
      </c>
      <c r="I19" s="12">
        <v>4</v>
      </c>
    </row>
    <row r="20" spans="2:9" ht="15" customHeight="1" x14ac:dyDescent="0.2">
      <c r="B20" s="9" t="s">
        <v>248</v>
      </c>
      <c r="C20" s="12">
        <f>SUM(LTBL_12225[総数／事業所数])</f>
        <v>1787</v>
      </c>
      <c r="E20" s="12">
        <f>SUBTOTAL(109,LTBL_12225[個人／事業所数])</f>
        <v>975</v>
      </c>
      <c r="G20" s="12">
        <f>SUBTOTAL(109,LTBL_12225[法人／事業所数])</f>
        <v>800</v>
      </c>
      <c r="I20" s="12">
        <f>SUBTOTAL(109,LTBL_12225[法人以外の団体／事業所数])</f>
        <v>7</v>
      </c>
    </row>
    <row r="21" spans="2:9" ht="15" customHeight="1" x14ac:dyDescent="0.2">
      <c r="E21" s="11">
        <f>LTBL_12225[[#Totals],[個人／事業所数]]/LTBL_12225[[#Totals],[総数／事業所数]]</f>
        <v>0.54560716284275323</v>
      </c>
      <c r="G21" s="11">
        <f>LTBL_12225[[#Totals],[法人／事業所数]]/LTBL_12225[[#Totals],[総数／事業所数]]</f>
        <v>0.4476776720761052</v>
      </c>
      <c r="I21" s="11">
        <f>LTBL_12225[[#Totals],[法人以外の団体／事業所数]]/LTBL_12225[[#Totals],[総数／事業所数]]</f>
        <v>3.9171796306659203E-3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97</v>
      </c>
      <c r="C24" s="12">
        <v>334</v>
      </c>
      <c r="D24" s="8">
        <v>18.690000000000001</v>
      </c>
      <c r="E24" s="12">
        <v>303</v>
      </c>
      <c r="F24" s="8">
        <v>31.08</v>
      </c>
      <c r="G24" s="12">
        <v>31</v>
      </c>
      <c r="H24" s="8">
        <v>3.88</v>
      </c>
      <c r="I24" s="12">
        <v>0</v>
      </c>
    </row>
    <row r="25" spans="2:9" ht="15" customHeight="1" x14ac:dyDescent="0.2">
      <c r="B25" t="s">
        <v>98</v>
      </c>
      <c r="C25" s="12">
        <v>220</v>
      </c>
      <c r="D25" s="8">
        <v>12.31</v>
      </c>
      <c r="E25" s="12">
        <v>197</v>
      </c>
      <c r="F25" s="8">
        <v>20.21</v>
      </c>
      <c r="G25" s="12">
        <v>23</v>
      </c>
      <c r="H25" s="8">
        <v>2.88</v>
      </c>
      <c r="I25" s="12">
        <v>0</v>
      </c>
    </row>
    <row r="26" spans="2:9" ht="15" customHeight="1" x14ac:dyDescent="0.2">
      <c r="B26" t="s">
        <v>94</v>
      </c>
      <c r="C26" s="12">
        <v>126</v>
      </c>
      <c r="D26" s="8">
        <v>7.05</v>
      </c>
      <c r="E26" s="12">
        <v>43</v>
      </c>
      <c r="F26" s="8">
        <v>4.41</v>
      </c>
      <c r="G26" s="12">
        <v>83</v>
      </c>
      <c r="H26" s="8">
        <v>10.38</v>
      </c>
      <c r="I26" s="12">
        <v>0</v>
      </c>
    </row>
    <row r="27" spans="2:9" ht="15" customHeight="1" x14ac:dyDescent="0.2">
      <c r="B27" t="s">
        <v>84</v>
      </c>
      <c r="C27" s="12">
        <v>124</v>
      </c>
      <c r="D27" s="8">
        <v>6.94</v>
      </c>
      <c r="E27" s="12">
        <v>37</v>
      </c>
      <c r="F27" s="8">
        <v>3.79</v>
      </c>
      <c r="G27" s="12">
        <v>87</v>
      </c>
      <c r="H27" s="8">
        <v>10.88</v>
      </c>
      <c r="I27" s="12">
        <v>0</v>
      </c>
    </row>
    <row r="28" spans="2:9" ht="15" customHeight="1" x14ac:dyDescent="0.2">
      <c r="B28" t="s">
        <v>92</v>
      </c>
      <c r="C28" s="12">
        <v>103</v>
      </c>
      <c r="D28" s="8">
        <v>5.76</v>
      </c>
      <c r="E28" s="12">
        <v>37</v>
      </c>
      <c r="F28" s="8">
        <v>3.79</v>
      </c>
      <c r="G28" s="12">
        <v>66</v>
      </c>
      <c r="H28" s="8">
        <v>8.25</v>
      </c>
      <c r="I28" s="12">
        <v>0</v>
      </c>
    </row>
    <row r="29" spans="2:9" ht="15" customHeight="1" x14ac:dyDescent="0.2">
      <c r="B29" t="s">
        <v>85</v>
      </c>
      <c r="C29" s="12">
        <v>87</v>
      </c>
      <c r="D29" s="8">
        <v>4.87</v>
      </c>
      <c r="E29" s="12">
        <v>36</v>
      </c>
      <c r="F29" s="8">
        <v>3.69</v>
      </c>
      <c r="G29" s="12">
        <v>51</v>
      </c>
      <c r="H29" s="8">
        <v>6.38</v>
      </c>
      <c r="I29" s="12">
        <v>0</v>
      </c>
    </row>
    <row r="30" spans="2:9" ht="15" customHeight="1" x14ac:dyDescent="0.2">
      <c r="B30" t="s">
        <v>86</v>
      </c>
      <c r="C30" s="12">
        <v>84</v>
      </c>
      <c r="D30" s="8">
        <v>4.7</v>
      </c>
      <c r="E30" s="12">
        <v>14</v>
      </c>
      <c r="F30" s="8">
        <v>1.44</v>
      </c>
      <c r="G30" s="12">
        <v>70</v>
      </c>
      <c r="H30" s="8">
        <v>8.75</v>
      </c>
      <c r="I30" s="12">
        <v>0</v>
      </c>
    </row>
    <row r="31" spans="2:9" ht="15" customHeight="1" x14ac:dyDescent="0.2">
      <c r="B31" t="s">
        <v>100</v>
      </c>
      <c r="C31" s="12">
        <v>64</v>
      </c>
      <c r="D31" s="8">
        <v>3.58</v>
      </c>
      <c r="E31" s="12">
        <v>48</v>
      </c>
      <c r="F31" s="8">
        <v>4.92</v>
      </c>
      <c r="G31" s="12">
        <v>14</v>
      </c>
      <c r="H31" s="8">
        <v>1.75</v>
      </c>
      <c r="I31" s="12">
        <v>0</v>
      </c>
    </row>
    <row r="32" spans="2:9" ht="15" customHeight="1" x14ac:dyDescent="0.2">
      <c r="B32" t="s">
        <v>91</v>
      </c>
      <c r="C32" s="12">
        <v>60</v>
      </c>
      <c r="D32" s="8">
        <v>3.36</v>
      </c>
      <c r="E32" s="12">
        <v>29</v>
      </c>
      <c r="F32" s="8">
        <v>2.97</v>
      </c>
      <c r="G32" s="12">
        <v>31</v>
      </c>
      <c r="H32" s="8">
        <v>3.88</v>
      </c>
      <c r="I32" s="12">
        <v>0</v>
      </c>
    </row>
    <row r="33" spans="2:9" ht="15" customHeight="1" x14ac:dyDescent="0.2">
      <c r="B33" t="s">
        <v>90</v>
      </c>
      <c r="C33" s="12">
        <v>58</v>
      </c>
      <c r="D33" s="8">
        <v>3.25</v>
      </c>
      <c r="E33" s="12">
        <v>40</v>
      </c>
      <c r="F33" s="8">
        <v>4.0999999999999996</v>
      </c>
      <c r="G33" s="12">
        <v>18</v>
      </c>
      <c r="H33" s="8">
        <v>2.25</v>
      </c>
      <c r="I33" s="12">
        <v>0</v>
      </c>
    </row>
    <row r="34" spans="2:9" ht="15" customHeight="1" x14ac:dyDescent="0.2">
      <c r="B34" t="s">
        <v>101</v>
      </c>
      <c r="C34" s="12">
        <v>55</v>
      </c>
      <c r="D34" s="8">
        <v>3.08</v>
      </c>
      <c r="E34" s="12">
        <v>50</v>
      </c>
      <c r="F34" s="8">
        <v>5.13</v>
      </c>
      <c r="G34" s="12">
        <v>5</v>
      </c>
      <c r="H34" s="8">
        <v>0.63</v>
      </c>
      <c r="I34" s="12">
        <v>0</v>
      </c>
    </row>
    <row r="35" spans="2:9" ht="15" customHeight="1" x14ac:dyDescent="0.2">
      <c r="B35" t="s">
        <v>96</v>
      </c>
      <c r="C35" s="12">
        <v>40</v>
      </c>
      <c r="D35" s="8">
        <v>2.2400000000000002</v>
      </c>
      <c r="E35" s="12">
        <v>10</v>
      </c>
      <c r="F35" s="8">
        <v>1.03</v>
      </c>
      <c r="G35" s="12">
        <v>30</v>
      </c>
      <c r="H35" s="8">
        <v>3.75</v>
      </c>
      <c r="I35" s="12">
        <v>0</v>
      </c>
    </row>
    <row r="36" spans="2:9" ht="15" customHeight="1" x14ac:dyDescent="0.2">
      <c r="B36" t="s">
        <v>103</v>
      </c>
      <c r="C36" s="12">
        <v>32</v>
      </c>
      <c r="D36" s="8">
        <v>1.79</v>
      </c>
      <c r="E36" s="12">
        <v>23</v>
      </c>
      <c r="F36" s="8">
        <v>2.36</v>
      </c>
      <c r="G36" s="12">
        <v>9</v>
      </c>
      <c r="H36" s="8">
        <v>1.1299999999999999</v>
      </c>
      <c r="I36" s="12">
        <v>0</v>
      </c>
    </row>
    <row r="37" spans="2:9" ht="15" customHeight="1" x14ac:dyDescent="0.2">
      <c r="B37" t="s">
        <v>87</v>
      </c>
      <c r="C37" s="12">
        <v>30</v>
      </c>
      <c r="D37" s="8">
        <v>1.68</v>
      </c>
      <c r="E37" s="12">
        <v>2</v>
      </c>
      <c r="F37" s="8">
        <v>0.21</v>
      </c>
      <c r="G37" s="12">
        <v>28</v>
      </c>
      <c r="H37" s="8">
        <v>3.5</v>
      </c>
      <c r="I37" s="12">
        <v>0</v>
      </c>
    </row>
    <row r="38" spans="2:9" ht="15" customHeight="1" x14ac:dyDescent="0.2">
      <c r="B38" t="s">
        <v>95</v>
      </c>
      <c r="C38" s="12">
        <v>28</v>
      </c>
      <c r="D38" s="8">
        <v>1.57</v>
      </c>
      <c r="E38" s="12">
        <v>20</v>
      </c>
      <c r="F38" s="8">
        <v>2.0499999999999998</v>
      </c>
      <c r="G38" s="12">
        <v>8</v>
      </c>
      <c r="H38" s="8">
        <v>1</v>
      </c>
      <c r="I38" s="12">
        <v>0</v>
      </c>
    </row>
    <row r="39" spans="2:9" ht="15" customHeight="1" x14ac:dyDescent="0.2">
      <c r="B39" t="s">
        <v>102</v>
      </c>
      <c r="C39" s="12">
        <v>26</v>
      </c>
      <c r="D39" s="8">
        <v>1.45</v>
      </c>
      <c r="E39" s="12">
        <v>0</v>
      </c>
      <c r="F39" s="8">
        <v>0</v>
      </c>
      <c r="G39" s="12">
        <v>23</v>
      </c>
      <c r="H39" s="8">
        <v>2.88</v>
      </c>
      <c r="I39" s="12">
        <v>1</v>
      </c>
    </row>
    <row r="40" spans="2:9" ht="15" customHeight="1" x14ac:dyDescent="0.2">
      <c r="B40" t="s">
        <v>93</v>
      </c>
      <c r="C40" s="12">
        <v>20</v>
      </c>
      <c r="D40" s="8">
        <v>1.1200000000000001</v>
      </c>
      <c r="E40" s="12">
        <v>1</v>
      </c>
      <c r="F40" s="8">
        <v>0.1</v>
      </c>
      <c r="G40" s="12">
        <v>19</v>
      </c>
      <c r="H40" s="8">
        <v>2.38</v>
      </c>
      <c r="I40" s="12">
        <v>0</v>
      </c>
    </row>
    <row r="41" spans="2:9" ht="15" customHeight="1" x14ac:dyDescent="0.2">
      <c r="B41" t="s">
        <v>118</v>
      </c>
      <c r="C41" s="12">
        <v>20</v>
      </c>
      <c r="D41" s="8">
        <v>1.1200000000000001</v>
      </c>
      <c r="E41" s="12">
        <v>5</v>
      </c>
      <c r="F41" s="8">
        <v>0.51</v>
      </c>
      <c r="G41" s="12">
        <v>15</v>
      </c>
      <c r="H41" s="8">
        <v>1.88</v>
      </c>
      <c r="I41" s="12">
        <v>0</v>
      </c>
    </row>
    <row r="42" spans="2:9" ht="15" customHeight="1" x14ac:dyDescent="0.2">
      <c r="B42" t="s">
        <v>112</v>
      </c>
      <c r="C42" s="12">
        <v>19</v>
      </c>
      <c r="D42" s="8">
        <v>1.06</v>
      </c>
      <c r="E42" s="12">
        <v>10</v>
      </c>
      <c r="F42" s="8">
        <v>1.03</v>
      </c>
      <c r="G42" s="12">
        <v>8</v>
      </c>
      <c r="H42" s="8">
        <v>1</v>
      </c>
      <c r="I42" s="12">
        <v>1</v>
      </c>
    </row>
    <row r="43" spans="2:9" ht="15" customHeight="1" x14ac:dyDescent="0.2">
      <c r="B43" t="s">
        <v>88</v>
      </c>
      <c r="C43" s="12">
        <v>18</v>
      </c>
      <c r="D43" s="8">
        <v>1.01</v>
      </c>
      <c r="E43" s="12">
        <v>2</v>
      </c>
      <c r="F43" s="8">
        <v>0.21</v>
      </c>
      <c r="G43" s="12">
        <v>16</v>
      </c>
      <c r="H43" s="8">
        <v>2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162</v>
      </c>
      <c r="C47" s="12">
        <v>138</v>
      </c>
      <c r="D47" s="8">
        <v>7.72</v>
      </c>
      <c r="E47" s="12">
        <v>133</v>
      </c>
      <c r="F47" s="8">
        <v>13.64</v>
      </c>
      <c r="G47" s="12">
        <v>5</v>
      </c>
      <c r="H47" s="8">
        <v>0.63</v>
      </c>
      <c r="I47" s="12">
        <v>0</v>
      </c>
    </row>
    <row r="48" spans="2:9" ht="15" customHeight="1" x14ac:dyDescent="0.2">
      <c r="B48" t="s">
        <v>164</v>
      </c>
      <c r="C48" s="12">
        <v>105</v>
      </c>
      <c r="D48" s="8">
        <v>5.88</v>
      </c>
      <c r="E48" s="12">
        <v>98</v>
      </c>
      <c r="F48" s="8">
        <v>10.050000000000001</v>
      </c>
      <c r="G48" s="12">
        <v>7</v>
      </c>
      <c r="H48" s="8">
        <v>0.88</v>
      </c>
      <c r="I48" s="12">
        <v>0</v>
      </c>
    </row>
    <row r="49" spans="2:9" ht="15" customHeight="1" x14ac:dyDescent="0.2">
      <c r="B49" t="s">
        <v>158</v>
      </c>
      <c r="C49" s="12">
        <v>92</v>
      </c>
      <c r="D49" s="8">
        <v>5.15</v>
      </c>
      <c r="E49" s="12">
        <v>39</v>
      </c>
      <c r="F49" s="8">
        <v>4</v>
      </c>
      <c r="G49" s="12">
        <v>53</v>
      </c>
      <c r="H49" s="8">
        <v>6.63</v>
      </c>
      <c r="I49" s="12">
        <v>0</v>
      </c>
    </row>
    <row r="50" spans="2:9" ht="15" customHeight="1" x14ac:dyDescent="0.2">
      <c r="B50" t="s">
        <v>161</v>
      </c>
      <c r="C50" s="12">
        <v>79</v>
      </c>
      <c r="D50" s="8">
        <v>4.42</v>
      </c>
      <c r="E50" s="12">
        <v>65</v>
      </c>
      <c r="F50" s="8">
        <v>6.67</v>
      </c>
      <c r="G50" s="12">
        <v>14</v>
      </c>
      <c r="H50" s="8">
        <v>1.75</v>
      </c>
      <c r="I50" s="12">
        <v>0</v>
      </c>
    </row>
    <row r="51" spans="2:9" ht="15" customHeight="1" x14ac:dyDescent="0.2">
      <c r="B51" t="s">
        <v>163</v>
      </c>
      <c r="C51" s="12">
        <v>76</v>
      </c>
      <c r="D51" s="8">
        <v>4.25</v>
      </c>
      <c r="E51" s="12">
        <v>73</v>
      </c>
      <c r="F51" s="8">
        <v>7.49</v>
      </c>
      <c r="G51" s="12">
        <v>3</v>
      </c>
      <c r="H51" s="8">
        <v>0.38</v>
      </c>
      <c r="I51" s="12">
        <v>0</v>
      </c>
    </row>
    <row r="52" spans="2:9" ht="15" customHeight="1" x14ac:dyDescent="0.2">
      <c r="B52" t="s">
        <v>165</v>
      </c>
      <c r="C52" s="12">
        <v>48</v>
      </c>
      <c r="D52" s="8">
        <v>2.69</v>
      </c>
      <c r="E52" s="12">
        <v>37</v>
      </c>
      <c r="F52" s="8">
        <v>3.79</v>
      </c>
      <c r="G52" s="12">
        <v>11</v>
      </c>
      <c r="H52" s="8">
        <v>1.38</v>
      </c>
      <c r="I52" s="12">
        <v>0</v>
      </c>
    </row>
    <row r="53" spans="2:9" ht="15" customHeight="1" x14ac:dyDescent="0.2">
      <c r="B53" t="s">
        <v>148</v>
      </c>
      <c r="C53" s="12">
        <v>44</v>
      </c>
      <c r="D53" s="8">
        <v>2.46</v>
      </c>
      <c r="E53" s="12">
        <v>7</v>
      </c>
      <c r="F53" s="8">
        <v>0.72</v>
      </c>
      <c r="G53" s="12">
        <v>37</v>
      </c>
      <c r="H53" s="8">
        <v>4.63</v>
      </c>
      <c r="I53" s="12">
        <v>0</v>
      </c>
    </row>
    <row r="54" spans="2:9" ht="15" customHeight="1" x14ac:dyDescent="0.2">
      <c r="B54" t="s">
        <v>150</v>
      </c>
      <c r="C54" s="12">
        <v>38</v>
      </c>
      <c r="D54" s="8">
        <v>2.13</v>
      </c>
      <c r="E54" s="12">
        <v>24</v>
      </c>
      <c r="F54" s="8">
        <v>2.46</v>
      </c>
      <c r="G54" s="12">
        <v>14</v>
      </c>
      <c r="H54" s="8">
        <v>1.75</v>
      </c>
      <c r="I54" s="12">
        <v>0</v>
      </c>
    </row>
    <row r="55" spans="2:9" ht="15" customHeight="1" x14ac:dyDescent="0.2">
      <c r="B55" t="s">
        <v>155</v>
      </c>
      <c r="C55" s="12">
        <v>38</v>
      </c>
      <c r="D55" s="8">
        <v>2.13</v>
      </c>
      <c r="E55" s="12">
        <v>17</v>
      </c>
      <c r="F55" s="8">
        <v>1.74</v>
      </c>
      <c r="G55" s="12">
        <v>21</v>
      </c>
      <c r="H55" s="8">
        <v>2.63</v>
      </c>
      <c r="I55" s="12">
        <v>0</v>
      </c>
    </row>
    <row r="56" spans="2:9" ht="15" customHeight="1" x14ac:dyDescent="0.2">
      <c r="B56" t="s">
        <v>166</v>
      </c>
      <c r="C56" s="12">
        <v>37</v>
      </c>
      <c r="D56" s="8">
        <v>2.0699999999999998</v>
      </c>
      <c r="E56" s="12">
        <v>34</v>
      </c>
      <c r="F56" s="8">
        <v>3.49</v>
      </c>
      <c r="G56" s="12">
        <v>3</v>
      </c>
      <c r="H56" s="8">
        <v>0.38</v>
      </c>
      <c r="I56" s="12">
        <v>0</v>
      </c>
    </row>
    <row r="57" spans="2:9" ht="15" customHeight="1" x14ac:dyDescent="0.2">
      <c r="B57" t="s">
        <v>152</v>
      </c>
      <c r="C57" s="12">
        <v>34</v>
      </c>
      <c r="D57" s="8">
        <v>1.9</v>
      </c>
      <c r="E57" s="12">
        <v>11</v>
      </c>
      <c r="F57" s="8">
        <v>1.1299999999999999</v>
      </c>
      <c r="G57" s="12">
        <v>23</v>
      </c>
      <c r="H57" s="8">
        <v>2.88</v>
      </c>
      <c r="I57" s="12">
        <v>0</v>
      </c>
    </row>
    <row r="58" spans="2:9" ht="15" customHeight="1" x14ac:dyDescent="0.2">
      <c r="B58" t="s">
        <v>193</v>
      </c>
      <c r="C58" s="12">
        <v>32</v>
      </c>
      <c r="D58" s="8">
        <v>1.79</v>
      </c>
      <c r="E58" s="12">
        <v>32</v>
      </c>
      <c r="F58" s="8">
        <v>3.28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167</v>
      </c>
      <c r="C59" s="12">
        <v>32</v>
      </c>
      <c r="D59" s="8">
        <v>1.79</v>
      </c>
      <c r="E59" s="12">
        <v>23</v>
      </c>
      <c r="F59" s="8">
        <v>2.36</v>
      </c>
      <c r="G59" s="12">
        <v>9</v>
      </c>
      <c r="H59" s="8">
        <v>1.1299999999999999</v>
      </c>
      <c r="I59" s="12">
        <v>0</v>
      </c>
    </row>
    <row r="60" spans="2:9" ht="15" customHeight="1" x14ac:dyDescent="0.2">
      <c r="B60" t="s">
        <v>153</v>
      </c>
      <c r="C60" s="12">
        <v>29</v>
      </c>
      <c r="D60" s="8">
        <v>1.62</v>
      </c>
      <c r="E60" s="12">
        <v>3</v>
      </c>
      <c r="F60" s="8">
        <v>0.31</v>
      </c>
      <c r="G60" s="12">
        <v>26</v>
      </c>
      <c r="H60" s="8">
        <v>3.25</v>
      </c>
      <c r="I60" s="12">
        <v>0</v>
      </c>
    </row>
    <row r="61" spans="2:9" ht="15" customHeight="1" x14ac:dyDescent="0.2">
      <c r="B61" t="s">
        <v>156</v>
      </c>
      <c r="C61" s="12">
        <v>28</v>
      </c>
      <c r="D61" s="8">
        <v>1.57</v>
      </c>
      <c r="E61" s="12">
        <v>9</v>
      </c>
      <c r="F61" s="8">
        <v>0.92</v>
      </c>
      <c r="G61" s="12">
        <v>19</v>
      </c>
      <c r="H61" s="8">
        <v>2.38</v>
      </c>
      <c r="I61" s="12">
        <v>0</v>
      </c>
    </row>
    <row r="62" spans="2:9" ht="15" customHeight="1" x14ac:dyDescent="0.2">
      <c r="B62" t="s">
        <v>195</v>
      </c>
      <c r="C62" s="12">
        <v>27</v>
      </c>
      <c r="D62" s="8">
        <v>1.51</v>
      </c>
      <c r="E62" s="12">
        <v>23</v>
      </c>
      <c r="F62" s="8">
        <v>2.36</v>
      </c>
      <c r="G62" s="12">
        <v>4</v>
      </c>
      <c r="H62" s="8">
        <v>0.5</v>
      </c>
      <c r="I62" s="12">
        <v>0</v>
      </c>
    </row>
    <row r="63" spans="2:9" ht="15" customHeight="1" x14ac:dyDescent="0.2">
      <c r="B63" t="s">
        <v>192</v>
      </c>
      <c r="C63" s="12">
        <v>26</v>
      </c>
      <c r="D63" s="8">
        <v>1.45</v>
      </c>
      <c r="E63" s="12">
        <v>23</v>
      </c>
      <c r="F63" s="8">
        <v>2.36</v>
      </c>
      <c r="G63" s="12">
        <v>3</v>
      </c>
      <c r="H63" s="8">
        <v>0.38</v>
      </c>
      <c r="I63" s="12">
        <v>0</v>
      </c>
    </row>
    <row r="64" spans="2:9" ht="15" customHeight="1" x14ac:dyDescent="0.2">
      <c r="B64" t="s">
        <v>154</v>
      </c>
      <c r="C64" s="12">
        <v>25</v>
      </c>
      <c r="D64" s="8">
        <v>1.4</v>
      </c>
      <c r="E64" s="12">
        <v>16</v>
      </c>
      <c r="F64" s="8">
        <v>1.64</v>
      </c>
      <c r="G64" s="12">
        <v>9</v>
      </c>
      <c r="H64" s="8">
        <v>1.1299999999999999</v>
      </c>
      <c r="I64" s="12">
        <v>0</v>
      </c>
    </row>
    <row r="65" spans="2:9" ht="15" customHeight="1" x14ac:dyDescent="0.2">
      <c r="B65" t="s">
        <v>160</v>
      </c>
      <c r="C65" s="12">
        <v>24</v>
      </c>
      <c r="D65" s="8">
        <v>1.34</v>
      </c>
      <c r="E65" s="12">
        <v>5</v>
      </c>
      <c r="F65" s="8">
        <v>0.51</v>
      </c>
      <c r="G65" s="12">
        <v>19</v>
      </c>
      <c r="H65" s="8">
        <v>2.38</v>
      </c>
      <c r="I65" s="12">
        <v>0</v>
      </c>
    </row>
    <row r="66" spans="2:9" ht="15" customHeight="1" x14ac:dyDescent="0.2">
      <c r="B66" t="s">
        <v>169</v>
      </c>
      <c r="C66" s="12">
        <v>23</v>
      </c>
      <c r="D66" s="8">
        <v>1.29</v>
      </c>
      <c r="E66" s="12">
        <v>17</v>
      </c>
      <c r="F66" s="8">
        <v>1.74</v>
      </c>
      <c r="G66" s="12">
        <v>6</v>
      </c>
      <c r="H66" s="8">
        <v>0.75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7AF01-41E0-48D7-9220-BD757A7822AF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281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215</v>
      </c>
      <c r="D6" s="8">
        <v>20.63</v>
      </c>
      <c r="E6" s="12">
        <v>85</v>
      </c>
      <c r="F6" s="8">
        <v>14.51</v>
      </c>
      <c r="G6" s="12">
        <v>130</v>
      </c>
      <c r="H6" s="8">
        <v>28.82</v>
      </c>
      <c r="I6" s="12">
        <v>0</v>
      </c>
    </row>
    <row r="7" spans="2:9" ht="15" customHeight="1" x14ac:dyDescent="0.2">
      <c r="B7" t="s">
        <v>63</v>
      </c>
      <c r="C7" s="12">
        <v>91</v>
      </c>
      <c r="D7" s="8">
        <v>8.73</v>
      </c>
      <c r="E7" s="12">
        <v>35</v>
      </c>
      <c r="F7" s="8">
        <v>5.97</v>
      </c>
      <c r="G7" s="12">
        <v>56</v>
      </c>
      <c r="H7" s="8">
        <v>12.42</v>
      </c>
      <c r="I7" s="12">
        <v>0</v>
      </c>
    </row>
    <row r="8" spans="2:9" ht="15" customHeight="1" x14ac:dyDescent="0.2">
      <c r="B8" t="s">
        <v>64</v>
      </c>
      <c r="C8" s="12">
        <v>3</v>
      </c>
      <c r="D8" s="8">
        <v>0.28999999999999998</v>
      </c>
      <c r="E8" s="12">
        <v>0</v>
      </c>
      <c r="F8" s="8">
        <v>0</v>
      </c>
      <c r="G8" s="12">
        <v>2</v>
      </c>
      <c r="H8" s="8">
        <v>0.44</v>
      </c>
      <c r="I8" s="12">
        <v>0</v>
      </c>
    </row>
    <row r="9" spans="2:9" ht="15" customHeight="1" x14ac:dyDescent="0.2">
      <c r="B9" t="s">
        <v>65</v>
      </c>
      <c r="C9" s="12">
        <v>7</v>
      </c>
      <c r="D9" s="8">
        <v>0.67</v>
      </c>
      <c r="E9" s="12">
        <v>1</v>
      </c>
      <c r="F9" s="8">
        <v>0.17</v>
      </c>
      <c r="G9" s="12">
        <v>6</v>
      </c>
      <c r="H9" s="8">
        <v>1.33</v>
      </c>
      <c r="I9" s="12">
        <v>0</v>
      </c>
    </row>
    <row r="10" spans="2:9" ht="15" customHeight="1" x14ac:dyDescent="0.2">
      <c r="B10" t="s">
        <v>66</v>
      </c>
      <c r="C10" s="12">
        <v>10</v>
      </c>
      <c r="D10" s="8">
        <v>0.96</v>
      </c>
      <c r="E10" s="12">
        <v>4</v>
      </c>
      <c r="F10" s="8">
        <v>0.68</v>
      </c>
      <c r="G10" s="12">
        <v>5</v>
      </c>
      <c r="H10" s="8">
        <v>1.1100000000000001</v>
      </c>
      <c r="I10" s="12">
        <v>1</v>
      </c>
    </row>
    <row r="11" spans="2:9" ht="15" customHeight="1" x14ac:dyDescent="0.2">
      <c r="B11" t="s">
        <v>67</v>
      </c>
      <c r="C11" s="12">
        <v>231</v>
      </c>
      <c r="D11" s="8">
        <v>22.17</v>
      </c>
      <c r="E11" s="12">
        <v>121</v>
      </c>
      <c r="F11" s="8">
        <v>20.65</v>
      </c>
      <c r="G11" s="12">
        <v>110</v>
      </c>
      <c r="H11" s="8">
        <v>24.39</v>
      </c>
      <c r="I11" s="12">
        <v>0</v>
      </c>
    </row>
    <row r="12" spans="2:9" ht="15" customHeight="1" x14ac:dyDescent="0.2">
      <c r="B12" t="s">
        <v>68</v>
      </c>
      <c r="C12" s="12">
        <v>4</v>
      </c>
      <c r="D12" s="8">
        <v>0.38</v>
      </c>
      <c r="E12" s="12">
        <v>2</v>
      </c>
      <c r="F12" s="8">
        <v>0.34</v>
      </c>
      <c r="G12" s="12">
        <v>2</v>
      </c>
      <c r="H12" s="8">
        <v>0.44</v>
      </c>
      <c r="I12" s="12">
        <v>0</v>
      </c>
    </row>
    <row r="13" spans="2:9" ht="15" customHeight="1" x14ac:dyDescent="0.2">
      <c r="B13" t="s">
        <v>69</v>
      </c>
      <c r="C13" s="12">
        <v>38</v>
      </c>
      <c r="D13" s="8">
        <v>3.65</v>
      </c>
      <c r="E13" s="12">
        <v>12</v>
      </c>
      <c r="F13" s="8">
        <v>2.0499999999999998</v>
      </c>
      <c r="G13" s="12">
        <v>26</v>
      </c>
      <c r="H13" s="8">
        <v>5.76</v>
      </c>
      <c r="I13" s="12">
        <v>0</v>
      </c>
    </row>
    <row r="14" spans="2:9" ht="15" customHeight="1" x14ac:dyDescent="0.2">
      <c r="B14" t="s">
        <v>70</v>
      </c>
      <c r="C14" s="12">
        <v>40</v>
      </c>
      <c r="D14" s="8">
        <v>3.84</v>
      </c>
      <c r="E14" s="12">
        <v>23</v>
      </c>
      <c r="F14" s="8">
        <v>3.92</v>
      </c>
      <c r="G14" s="12">
        <v>17</v>
      </c>
      <c r="H14" s="8">
        <v>3.77</v>
      </c>
      <c r="I14" s="12">
        <v>0</v>
      </c>
    </row>
    <row r="15" spans="2:9" ht="15" customHeight="1" x14ac:dyDescent="0.2">
      <c r="B15" t="s">
        <v>71</v>
      </c>
      <c r="C15" s="12">
        <v>124</v>
      </c>
      <c r="D15" s="8">
        <v>11.9</v>
      </c>
      <c r="E15" s="12">
        <v>101</v>
      </c>
      <c r="F15" s="8">
        <v>17.239999999999998</v>
      </c>
      <c r="G15" s="12">
        <v>22</v>
      </c>
      <c r="H15" s="8">
        <v>4.88</v>
      </c>
      <c r="I15" s="12">
        <v>0</v>
      </c>
    </row>
    <row r="16" spans="2:9" ht="15" customHeight="1" x14ac:dyDescent="0.2">
      <c r="B16" t="s">
        <v>72</v>
      </c>
      <c r="C16" s="12">
        <v>162</v>
      </c>
      <c r="D16" s="8">
        <v>15.55</v>
      </c>
      <c r="E16" s="12">
        <v>136</v>
      </c>
      <c r="F16" s="8">
        <v>23.21</v>
      </c>
      <c r="G16" s="12">
        <v>26</v>
      </c>
      <c r="H16" s="8">
        <v>5.76</v>
      </c>
      <c r="I16" s="12">
        <v>0</v>
      </c>
    </row>
    <row r="17" spans="2:9" ht="15" customHeight="1" x14ac:dyDescent="0.2">
      <c r="B17" t="s">
        <v>73</v>
      </c>
      <c r="C17" s="12">
        <v>21</v>
      </c>
      <c r="D17" s="8">
        <v>2.02</v>
      </c>
      <c r="E17" s="12">
        <v>14</v>
      </c>
      <c r="F17" s="8">
        <v>2.39</v>
      </c>
      <c r="G17" s="12">
        <v>6</v>
      </c>
      <c r="H17" s="8">
        <v>1.33</v>
      </c>
      <c r="I17" s="12">
        <v>0</v>
      </c>
    </row>
    <row r="18" spans="2:9" ht="15" customHeight="1" x14ac:dyDescent="0.2">
      <c r="B18" t="s">
        <v>74</v>
      </c>
      <c r="C18" s="12">
        <v>50</v>
      </c>
      <c r="D18" s="8">
        <v>4.8</v>
      </c>
      <c r="E18" s="12">
        <v>26</v>
      </c>
      <c r="F18" s="8">
        <v>4.4400000000000004</v>
      </c>
      <c r="G18" s="12">
        <v>23</v>
      </c>
      <c r="H18" s="8">
        <v>5.0999999999999996</v>
      </c>
      <c r="I18" s="12">
        <v>0</v>
      </c>
    </row>
    <row r="19" spans="2:9" ht="15" customHeight="1" x14ac:dyDescent="0.2">
      <c r="B19" t="s">
        <v>75</v>
      </c>
      <c r="C19" s="12">
        <v>46</v>
      </c>
      <c r="D19" s="8">
        <v>4.41</v>
      </c>
      <c r="E19" s="12">
        <v>26</v>
      </c>
      <c r="F19" s="8">
        <v>4.4400000000000004</v>
      </c>
      <c r="G19" s="12">
        <v>20</v>
      </c>
      <c r="H19" s="8">
        <v>4.43</v>
      </c>
      <c r="I19" s="12">
        <v>0</v>
      </c>
    </row>
    <row r="20" spans="2:9" ht="15" customHeight="1" x14ac:dyDescent="0.2">
      <c r="B20" s="9" t="s">
        <v>248</v>
      </c>
      <c r="C20" s="12">
        <f>SUM(LTBL_12226[総数／事業所数])</f>
        <v>1042</v>
      </c>
      <c r="E20" s="12">
        <f>SUBTOTAL(109,LTBL_12226[個人／事業所数])</f>
        <v>586</v>
      </c>
      <c r="G20" s="12">
        <f>SUBTOTAL(109,LTBL_12226[法人／事業所数])</f>
        <v>451</v>
      </c>
      <c r="I20" s="12">
        <f>SUBTOTAL(109,LTBL_12226[法人以外の団体／事業所数])</f>
        <v>1</v>
      </c>
    </row>
    <row r="21" spans="2:9" ht="15" customHeight="1" x14ac:dyDescent="0.2">
      <c r="E21" s="11">
        <f>LTBL_12226[[#Totals],[個人／事業所数]]/LTBL_12226[[#Totals],[総数／事業所数]]</f>
        <v>0.56238003838771589</v>
      </c>
      <c r="G21" s="11">
        <f>LTBL_12226[[#Totals],[法人／事業所数]]/LTBL_12226[[#Totals],[総数／事業所数]]</f>
        <v>0.43282149712092133</v>
      </c>
      <c r="I21" s="11">
        <f>LTBL_12226[[#Totals],[法人以外の団体／事業所数]]/LTBL_12226[[#Totals],[総数／事業所数]]</f>
        <v>9.5969289827255275E-4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129</v>
      </c>
      <c r="D24" s="8">
        <v>12.38</v>
      </c>
      <c r="E24" s="12">
        <v>120</v>
      </c>
      <c r="F24" s="8">
        <v>20.48</v>
      </c>
      <c r="G24" s="12">
        <v>9</v>
      </c>
      <c r="H24" s="8">
        <v>2</v>
      </c>
      <c r="I24" s="12">
        <v>0</v>
      </c>
    </row>
    <row r="25" spans="2:9" ht="15" customHeight="1" x14ac:dyDescent="0.2">
      <c r="B25" t="s">
        <v>97</v>
      </c>
      <c r="C25" s="12">
        <v>99</v>
      </c>
      <c r="D25" s="8">
        <v>9.5</v>
      </c>
      <c r="E25" s="12">
        <v>90</v>
      </c>
      <c r="F25" s="8">
        <v>15.36</v>
      </c>
      <c r="G25" s="12">
        <v>9</v>
      </c>
      <c r="H25" s="8">
        <v>2</v>
      </c>
      <c r="I25" s="12">
        <v>0</v>
      </c>
    </row>
    <row r="26" spans="2:9" ht="15" customHeight="1" x14ac:dyDescent="0.2">
      <c r="B26" t="s">
        <v>84</v>
      </c>
      <c r="C26" s="12">
        <v>86</v>
      </c>
      <c r="D26" s="8">
        <v>8.25</v>
      </c>
      <c r="E26" s="12">
        <v>35</v>
      </c>
      <c r="F26" s="8">
        <v>5.97</v>
      </c>
      <c r="G26" s="12">
        <v>51</v>
      </c>
      <c r="H26" s="8">
        <v>11.31</v>
      </c>
      <c r="I26" s="12">
        <v>0</v>
      </c>
    </row>
    <row r="27" spans="2:9" ht="15" customHeight="1" x14ac:dyDescent="0.2">
      <c r="B27" t="s">
        <v>85</v>
      </c>
      <c r="C27" s="12">
        <v>75</v>
      </c>
      <c r="D27" s="8">
        <v>7.2</v>
      </c>
      <c r="E27" s="12">
        <v>39</v>
      </c>
      <c r="F27" s="8">
        <v>6.66</v>
      </c>
      <c r="G27" s="12">
        <v>36</v>
      </c>
      <c r="H27" s="8">
        <v>7.98</v>
      </c>
      <c r="I27" s="12">
        <v>0</v>
      </c>
    </row>
    <row r="28" spans="2:9" ht="15" customHeight="1" x14ac:dyDescent="0.2">
      <c r="B28" t="s">
        <v>92</v>
      </c>
      <c r="C28" s="12">
        <v>73</v>
      </c>
      <c r="D28" s="8">
        <v>7.01</v>
      </c>
      <c r="E28" s="12">
        <v>36</v>
      </c>
      <c r="F28" s="8">
        <v>6.14</v>
      </c>
      <c r="G28" s="12">
        <v>37</v>
      </c>
      <c r="H28" s="8">
        <v>8.1999999999999993</v>
      </c>
      <c r="I28" s="12">
        <v>0</v>
      </c>
    </row>
    <row r="29" spans="2:9" ht="15" customHeight="1" x14ac:dyDescent="0.2">
      <c r="B29" t="s">
        <v>90</v>
      </c>
      <c r="C29" s="12">
        <v>67</v>
      </c>
      <c r="D29" s="8">
        <v>6.43</v>
      </c>
      <c r="E29" s="12">
        <v>44</v>
      </c>
      <c r="F29" s="8">
        <v>7.51</v>
      </c>
      <c r="G29" s="12">
        <v>23</v>
      </c>
      <c r="H29" s="8">
        <v>5.0999999999999996</v>
      </c>
      <c r="I29" s="12">
        <v>0</v>
      </c>
    </row>
    <row r="30" spans="2:9" ht="15" customHeight="1" x14ac:dyDescent="0.2">
      <c r="B30" t="s">
        <v>86</v>
      </c>
      <c r="C30" s="12">
        <v>54</v>
      </c>
      <c r="D30" s="8">
        <v>5.18</v>
      </c>
      <c r="E30" s="12">
        <v>11</v>
      </c>
      <c r="F30" s="8">
        <v>1.88</v>
      </c>
      <c r="G30" s="12">
        <v>43</v>
      </c>
      <c r="H30" s="8">
        <v>9.5299999999999994</v>
      </c>
      <c r="I30" s="12">
        <v>0</v>
      </c>
    </row>
    <row r="31" spans="2:9" ht="15" customHeight="1" x14ac:dyDescent="0.2">
      <c r="B31" t="s">
        <v>91</v>
      </c>
      <c r="C31" s="12">
        <v>28</v>
      </c>
      <c r="D31" s="8">
        <v>2.69</v>
      </c>
      <c r="E31" s="12">
        <v>16</v>
      </c>
      <c r="F31" s="8">
        <v>2.73</v>
      </c>
      <c r="G31" s="12">
        <v>12</v>
      </c>
      <c r="H31" s="8">
        <v>2.66</v>
      </c>
      <c r="I31" s="12">
        <v>0</v>
      </c>
    </row>
    <row r="32" spans="2:9" ht="15" customHeight="1" x14ac:dyDescent="0.2">
      <c r="B32" t="s">
        <v>101</v>
      </c>
      <c r="C32" s="12">
        <v>26</v>
      </c>
      <c r="D32" s="8">
        <v>2.5</v>
      </c>
      <c r="E32" s="12">
        <v>26</v>
      </c>
      <c r="F32" s="8">
        <v>4.4400000000000004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102</v>
      </c>
      <c r="C33" s="12">
        <v>24</v>
      </c>
      <c r="D33" s="8">
        <v>2.2999999999999998</v>
      </c>
      <c r="E33" s="12">
        <v>0</v>
      </c>
      <c r="F33" s="8">
        <v>0</v>
      </c>
      <c r="G33" s="12">
        <v>23</v>
      </c>
      <c r="H33" s="8">
        <v>5.0999999999999996</v>
      </c>
      <c r="I33" s="12">
        <v>0</v>
      </c>
    </row>
    <row r="34" spans="2:9" ht="15" customHeight="1" x14ac:dyDescent="0.2">
      <c r="B34" t="s">
        <v>89</v>
      </c>
      <c r="C34" s="12">
        <v>23</v>
      </c>
      <c r="D34" s="8">
        <v>2.21</v>
      </c>
      <c r="E34" s="12">
        <v>12</v>
      </c>
      <c r="F34" s="8">
        <v>2.0499999999999998</v>
      </c>
      <c r="G34" s="12">
        <v>11</v>
      </c>
      <c r="H34" s="8">
        <v>2.44</v>
      </c>
      <c r="I34" s="12">
        <v>0</v>
      </c>
    </row>
    <row r="35" spans="2:9" ht="15" customHeight="1" x14ac:dyDescent="0.2">
      <c r="B35" t="s">
        <v>103</v>
      </c>
      <c r="C35" s="12">
        <v>23</v>
      </c>
      <c r="D35" s="8">
        <v>2.21</v>
      </c>
      <c r="E35" s="12">
        <v>18</v>
      </c>
      <c r="F35" s="8">
        <v>3.07</v>
      </c>
      <c r="G35" s="12">
        <v>5</v>
      </c>
      <c r="H35" s="8">
        <v>1.1100000000000001</v>
      </c>
      <c r="I35" s="12">
        <v>0</v>
      </c>
    </row>
    <row r="36" spans="2:9" ht="15" customHeight="1" x14ac:dyDescent="0.2">
      <c r="B36" t="s">
        <v>96</v>
      </c>
      <c r="C36" s="12">
        <v>21</v>
      </c>
      <c r="D36" s="8">
        <v>2.02</v>
      </c>
      <c r="E36" s="12">
        <v>11</v>
      </c>
      <c r="F36" s="8">
        <v>1.88</v>
      </c>
      <c r="G36" s="12">
        <v>10</v>
      </c>
      <c r="H36" s="8">
        <v>2.2200000000000002</v>
      </c>
      <c r="I36" s="12">
        <v>0</v>
      </c>
    </row>
    <row r="37" spans="2:9" ht="15" customHeight="1" x14ac:dyDescent="0.2">
      <c r="B37" t="s">
        <v>112</v>
      </c>
      <c r="C37" s="12">
        <v>21</v>
      </c>
      <c r="D37" s="8">
        <v>2.02</v>
      </c>
      <c r="E37" s="12">
        <v>13</v>
      </c>
      <c r="F37" s="8">
        <v>2.2200000000000002</v>
      </c>
      <c r="G37" s="12">
        <v>8</v>
      </c>
      <c r="H37" s="8">
        <v>1.77</v>
      </c>
      <c r="I37" s="12">
        <v>0</v>
      </c>
    </row>
    <row r="38" spans="2:9" ht="15" customHeight="1" x14ac:dyDescent="0.2">
      <c r="B38" t="s">
        <v>100</v>
      </c>
      <c r="C38" s="12">
        <v>21</v>
      </c>
      <c r="D38" s="8">
        <v>2.02</v>
      </c>
      <c r="E38" s="12">
        <v>14</v>
      </c>
      <c r="F38" s="8">
        <v>2.39</v>
      </c>
      <c r="G38" s="12">
        <v>6</v>
      </c>
      <c r="H38" s="8">
        <v>1.33</v>
      </c>
      <c r="I38" s="12">
        <v>0</v>
      </c>
    </row>
    <row r="39" spans="2:9" ht="15" customHeight="1" x14ac:dyDescent="0.2">
      <c r="B39" t="s">
        <v>110</v>
      </c>
      <c r="C39" s="12">
        <v>20</v>
      </c>
      <c r="D39" s="8">
        <v>1.92</v>
      </c>
      <c r="E39" s="12">
        <v>9</v>
      </c>
      <c r="F39" s="8">
        <v>1.54</v>
      </c>
      <c r="G39" s="12">
        <v>11</v>
      </c>
      <c r="H39" s="8">
        <v>2.44</v>
      </c>
      <c r="I39" s="12">
        <v>0</v>
      </c>
    </row>
    <row r="40" spans="2:9" ht="15" customHeight="1" x14ac:dyDescent="0.2">
      <c r="B40" t="s">
        <v>94</v>
      </c>
      <c r="C40" s="12">
        <v>19</v>
      </c>
      <c r="D40" s="8">
        <v>1.82</v>
      </c>
      <c r="E40" s="12">
        <v>9</v>
      </c>
      <c r="F40" s="8">
        <v>1.54</v>
      </c>
      <c r="G40" s="12">
        <v>10</v>
      </c>
      <c r="H40" s="8">
        <v>2.2200000000000002</v>
      </c>
      <c r="I40" s="12">
        <v>0</v>
      </c>
    </row>
    <row r="41" spans="2:9" ht="15" customHeight="1" x14ac:dyDescent="0.2">
      <c r="B41" t="s">
        <v>111</v>
      </c>
      <c r="C41" s="12">
        <v>19</v>
      </c>
      <c r="D41" s="8">
        <v>1.82</v>
      </c>
      <c r="E41" s="12">
        <v>10</v>
      </c>
      <c r="F41" s="8">
        <v>1.71</v>
      </c>
      <c r="G41" s="12">
        <v>9</v>
      </c>
      <c r="H41" s="8">
        <v>2</v>
      </c>
      <c r="I41" s="12">
        <v>0</v>
      </c>
    </row>
    <row r="42" spans="2:9" ht="15" customHeight="1" x14ac:dyDescent="0.2">
      <c r="B42" t="s">
        <v>95</v>
      </c>
      <c r="C42" s="12">
        <v>17</v>
      </c>
      <c r="D42" s="8">
        <v>1.63</v>
      </c>
      <c r="E42" s="12">
        <v>12</v>
      </c>
      <c r="F42" s="8">
        <v>2.0499999999999998</v>
      </c>
      <c r="G42" s="12">
        <v>5</v>
      </c>
      <c r="H42" s="8">
        <v>1.1100000000000001</v>
      </c>
      <c r="I42" s="12">
        <v>0</v>
      </c>
    </row>
    <row r="43" spans="2:9" ht="15" customHeight="1" x14ac:dyDescent="0.2">
      <c r="B43" t="s">
        <v>119</v>
      </c>
      <c r="C43" s="12">
        <v>15</v>
      </c>
      <c r="D43" s="8">
        <v>1.44</v>
      </c>
      <c r="E43" s="12">
        <v>9</v>
      </c>
      <c r="F43" s="8">
        <v>1.54</v>
      </c>
      <c r="G43" s="12">
        <v>6</v>
      </c>
      <c r="H43" s="8">
        <v>1.33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163</v>
      </c>
      <c r="C47" s="12">
        <v>61</v>
      </c>
      <c r="D47" s="8">
        <v>5.85</v>
      </c>
      <c r="E47" s="12">
        <v>59</v>
      </c>
      <c r="F47" s="8">
        <v>10.07</v>
      </c>
      <c r="G47" s="12">
        <v>2</v>
      </c>
      <c r="H47" s="8">
        <v>0.44</v>
      </c>
      <c r="I47" s="12">
        <v>0</v>
      </c>
    </row>
    <row r="48" spans="2:9" ht="15" customHeight="1" x14ac:dyDescent="0.2">
      <c r="B48" t="s">
        <v>164</v>
      </c>
      <c r="C48" s="12">
        <v>51</v>
      </c>
      <c r="D48" s="8">
        <v>4.8899999999999997</v>
      </c>
      <c r="E48" s="12">
        <v>47</v>
      </c>
      <c r="F48" s="8">
        <v>8.02</v>
      </c>
      <c r="G48" s="12">
        <v>4</v>
      </c>
      <c r="H48" s="8">
        <v>0.89</v>
      </c>
      <c r="I48" s="12">
        <v>0</v>
      </c>
    </row>
    <row r="49" spans="2:9" ht="15" customHeight="1" x14ac:dyDescent="0.2">
      <c r="B49" t="s">
        <v>150</v>
      </c>
      <c r="C49" s="12">
        <v>41</v>
      </c>
      <c r="D49" s="8">
        <v>3.93</v>
      </c>
      <c r="E49" s="12">
        <v>30</v>
      </c>
      <c r="F49" s="8">
        <v>5.12</v>
      </c>
      <c r="G49" s="12">
        <v>11</v>
      </c>
      <c r="H49" s="8">
        <v>2.44</v>
      </c>
      <c r="I49" s="12">
        <v>0</v>
      </c>
    </row>
    <row r="50" spans="2:9" ht="15" customHeight="1" x14ac:dyDescent="0.2">
      <c r="B50" t="s">
        <v>161</v>
      </c>
      <c r="C50" s="12">
        <v>34</v>
      </c>
      <c r="D50" s="8">
        <v>3.26</v>
      </c>
      <c r="E50" s="12">
        <v>32</v>
      </c>
      <c r="F50" s="8">
        <v>5.46</v>
      </c>
      <c r="G50" s="12">
        <v>2</v>
      </c>
      <c r="H50" s="8">
        <v>0.44</v>
      </c>
      <c r="I50" s="12">
        <v>0</v>
      </c>
    </row>
    <row r="51" spans="2:9" ht="15" customHeight="1" x14ac:dyDescent="0.2">
      <c r="B51" t="s">
        <v>152</v>
      </c>
      <c r="C51" s="12">
        <v>25</v>
      </c>
      <c r="D51" s="8">
        <v>2.4</v>
      </c>
      <c r="E51" s="12">
        <v>7</v>
      </c>
      <c r="F51" s="8">
        <v>1.19</v>
      </c>
      <c r="G51" s="12">
        <v>18</v>
      </c>
      <c r="H51" s="8">
        <v>3.99</v>
      </c>
      <c r="I51" s="12">
        <v>0</v>
      </c>
    </row>
    <row r="52" spans="2:9" ht="15" customHeight="1" x14ac:dyDescent="0.2">
      <c r="B52" t="s">
        <v>154</v>
      </c>
      <c r="C52" s="12">
        <v>24</v>
      </c>
      <c r="D52" s="8">
        <v>2.2999999999999998</v>
      </c>
      <c r="E52" s="12">
        <v>15</v>
      </c>
      <c r="F52" s="8">
        <v>2.56</v>
      </c>
      <c r="G52" s="12">
        <v>9</v>
      </c>
      <c r="H52" s="8">
        <v>2</v>
      </c>
      <c r="I52" s="12">
        <v>0</v>
      </c>
    </row>
    <row r="53" spans="2:9" ht="15" customHeight="1" x14ac:dyDescent="0.2">
      <c r="B53" t="s">
        <v>162</v>
      </c>
      <c r="C53" s="12">
        <v>24</v>
      </c>
      <c r="D53" s="8">
        <v>2.2999999999999998</v>
      </c>
      <c r="E53" s="12">
        <v>24</v>
      </c>
      <c r="F53" s="8">
        <v>4.0999999999999996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156</v>
      </c>
      <c r="C54" s="12">
        <v>23</v>
      </c>
      <c r="D54" s="8">
        <v>2.21</v>
      </c>
      <c r="E54" s="12">
        <v>15</v>
      </c>
      <c r="F54" s="8">
        <v>2.56</v>
      </c>
      <c r="G54" s="12">
        <v>8</v>
      </c>
      <c r="H54" s="8">
        <v>1.77</v>
      </c>
      <c r="I54" s="12">
        <v>0</v>
      </c>
    </row>
    <row r="55" spans="2:9" ht="15" customHeight="1" x14ac:dyDescent="0.2">
      <c r="B55" t="s">
        <v>167</v>
      </c>
      <c r="C55" s="12">
        <v>23</v>
      </c>
      <c r="D55" s="8">
        <v>2.21</v>
      </c>
      <c r="E55" s="12">
        <v>18</v>
      </c>
      <c r="F55" s="8">
        <v>3.07</v>
      </c>
      <c r="G55" s="12">
        <v>5</v>
      </c>
      <c r="H55" s="8">
        <v>1.1100000000000001</v>
      </c>
      <c r="I55" s="12">
        <v>0</v>
      </c>
    </row>
    <row r="56" spans="2:9" ht="15" customHeight="1" x14ac:dyDescent="0.2">
      <c r="B56" t="s">
        <v>148</v>
      </c>
      <c r="C56" s="12">
        <v>21</v>
      </c>
      <c r="D56" s="8">
        <v>2.02</v>
      </c>
      <c r="E56" s="12">
        <v>0</v>
      </c>
      <c r="F56" s="8">
        <v>0</v>
      </c>
      <c r="G56" s="12">
        <v>21</v>
      </c>
      <c r="H56" s="8">
        <v>4.66</v>
      </c>
      <c r="I56" s="12">
        <v>0</v>
      </c>
    </row>
    <row r="57" spans="2:9" ht="15" customHeight="1" x14ac:dyDescent="0.2">
      <c r="B57" t="s">
        <v>192</v>
      </c>
      <c r="C57" s="12">
        <v>19</v>
      </c>
      <c r="D57" s="8">
        <v>1.82</v>
      </c>
      <c r="E57" s="12">
        <v>15</v>
      </c>
      <c r="F57" s="8">
        <v>2.56</v>
      </c>
      <c r="G57" s="12">
        <v>4</v>
      </c>
      <c r="H57" s="8">
        <v>0.89</v>
      </c>
      <c r="I57" s="12">
        <v>0</v>
      </c>
    </row>
    <row r="58" spans="2:9" ht="15" customHeight="1" x14ac:dyDescent="0.2">
      <c r="B58" t="s">
        <v>197</v>
      </c>
      <c r="C58" s="12">
        <v>18</v>
      </c>
      <c r="D58" s="8">
        <v>1.73</v>
      </c>
      <c r="E58" s="12">
        <v>11</v>
      </c>
      <c r="F58" s="8">
        <v>1.88</v>
      </c>
      <c r="G58" s="12">
        <v>7</v>
      </c>
      <c r="H58" s="8">
        <v>1.55</v>
      </c>
      <c r="I58" s="12">
        <v>0</v>
      </c>
    </row>
    <row r="59" spans="2:9" ht="15" customHeight="1" x14ac:dyDescent="0.2">
      <c r="B59" t="s">
        <v>153</v>
      </c>
      <c r="C59" s="12">
        <v>18</v>
      </c>
      <c r="D59" s="8">
        <v>1.73</v>
      </c>
      <c r="E59" s="12">
        <v>4</v>
      </c>
      <c r="F59" s="8">
        <v>0.68</v>
      </c>
      <c r="G59" s="12">
        <v>14</v>
      </c>
      <c r="H59" s="8">
        <v>3.1</v>
      </c>
      <c r="I59" s="12">
        <v>0</v>
      </c>
    </row>
    <row r="60" spans="2:9" ht="15" customHeight="1" x14ac:dyDescent="0.2">
      <c r="B60" t="s">
        <v>166</v>
      </c>
      <c r="C60" s="12">
        <v>17</v>
      </c>
      <c r="D60" s="8">
        <v>1.63</v>
      </c>
      <c r="E60" s="12">
        <v>17</v>
      </c>
      <c r="F60" s="8">
        <v>2.9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191</v>
      </c>
      <c r="C61" s="12">
        <v>15</v>
      </c>
      <c r="D61" s="8">
        <v>1.44</v>
      </c>
      <c r="E61" s="12">
        <v>3</v>
      </c>
      <c r="F61" s="8">
        <v>0.51</v>
      </c>
      <c r="G61" s="12">
        <v>12</v>
      </c>
      <c r="H61" s="8">
        <v>2.66</v>
      </c>
      <c r="I61" s="12">
        <v>0</v>
      </c>
    </row>
    <row r="62" spans="2:9" ht="15" customHeight="1" x14ac:dyDescent="0.2">
      <c r="B62" t="s">
        <v>158</v>
      </c>
      <c r="C62" s="12">
        <v>15</v>
      </c>
      <c r="D62" s="8">
        <v>1.44</v>
      </c>
      <c r="E62" s="12">
        <v>9</v>
      </c>
      <c r="F62" s="8">
        <v>1.54</v>
      </c>
      <c r="G62" s="12">
        <v>6</v>
      </c>
      <c r="H62" s="8">
        <v>1.33</v>
      </c>
      <c r="I62" s="12">
        <v>0</v>
      </c>
    </row>
    <row r="63" spans="2:9" ht="15" customHeight="1" x14ac:dyDescent="0.2">
      <c r="B63" t="s">
        <v>169</v>
      </c>
      <c r="C63" s="12">
        <v>15</v>
      </c>
      <c r="D63" s="8">
        <v>1.44</v>
      </c>
      <c r="E63" s="12">
        <v>12</v>
      </c>
      <c r="F63" s="8">
        <v>2.0499999999999998</v>
      </c>
      <c r="G63" s="12">
        <v>3</v>
      </c>
      <c r="H63" s="8">
        <v>0.67</v>
      </c>
      <c r="I63" s="12">
        <v>0</v>
      </c>
    </row>
    <row r="64" spans="2:9" ht="15" customHeight="1" x14ac:dyDescent="0.2">
      <c r="B64" t="s">
        <v>168</v>
      </c>
      <c r="C64" s="12">
        <v>14</v>
      </c>
      <c r="D64" s="8">
        <v>1.34</v>
      </c>
      <c r="E64" s="12">
        <v>6</v>
      </c>
      <c r="F64" s="8">
        <v>1.02</v>
      </c>
      <c r="G64" s="12">
        <v>8</v>
      </c>
      <c r="H64" s="8">
        <v>1.77</v>
      </c>
      <c r="I64" s="12">
        <v>0</v>
      </c>
    </row>
    <row r="65" spans="2:9" ht="15" customHeight="1" x14ac:dyDescent="0.2">
      <c r="B65" t="s">
        <v>204</v>
      </c>
      <c r="C65" s="12">
        <v>13</v>
      </c>
      <c r="D65" s="8">
        <v>1.25</v>
      </c>
      <c r="E65" s="12">
        <v>5</v>
      </c>
      <c r="F65" s="8">
        <v>0.85</v>
      </c>
      <c r="G65" s="12">
        <v>8</v>
      </c>
      <c r="H65" s="8">
        <v>1.77</v>
      </c>
      <c r="I65" s="12">
        <v>0</v>
      </c>
    </row>
    <row r="66" spans="2:9" ht="15" customHeight="1" x14ac:dyDescent="0.2">
      <c r="B66" t="s">
        <v>187</v>
      </c>
      <c r="C66" s="12">
        <v>12</v>
      </c>
      <c r="D66" s="8">
        <v>1.1499999999999999</v>
      </c>
      <c r="E66" s="12">
        <v>7</v>
      </c>
      <c r="F66" s="8">
        <v>1.19</v>
      </c>
      <c r="G66" s="12">
        <v>5</v>
      </c>
      <c r="H66" s="8">
        <v>1.1100000000000001</v>
      </c>
      <c r="I66" s="12">
        <v>0</v>
      </c>
    </row>
    <row r="67" spans="2:9" ht="15" customHeight="1" x14ac:dyDescent="0.2">
      <c r="B67" t="s">
        <v>190</v>
      </c>
      <c r="C67" s="12">
        <v>12</v>
      </c>
      <c r="D67" s="8">
        <v>1.1499999999999999</v>
      </c>
      <c r="E67" s="12">
        <v>8</v>
      </c>
      <c r="F67" s="8">
        <v>1.37</v>
      </c>
      <c r="G67" s="12">
        <v>4</v>
      </c>
      <c r="H67" s="8">
        <v>0.89</v>
      </c>
      <c r="I67" s="12">
        <v>0</v>
      </c>
    </row>
    <row r="68" spans="2:9" ht="15" customHeight="1" x14ac:dyDescent="0.2">
      <c r="B68" t="s">
        <v>194</v>
      </c>
      <c r="C68" s="12">
        <v>12</v>
      </c>
      <c r="D68" s="8">
        <v>1.1499999999999999</v>
      </c>
      <c r="E68" s="12">
        <v>9</v>
      </c>
      <c r="F68" s="8">
        <v>1.54</v>
      </c>
      <c r="G68" s="12">
        <v>3</v>
      </c>
      <c r="H68" s="8">
        <v>0.67</v>
      </c>
      <c r="I68" s="12">
        <v>0</v>
      </c>
    </row>
    <row r="69" spans="2:9" ht="15" customHeight="1" x14ac:dyDescent="0.2">
      <c r="B69" t="s">
        <v>200</v>
      </c>
      <c r="C69" s="12">
        <v>12</v>
      </c>
      <c r="D69" s="8">
        <v>1.1499999999999999</v>
      </c>
      <c r="E69" s="12">
        <v>11</v>
      </c>
      <c r="F69" s="8">
        <v>1.88</v>
      </c>
      <c r="G69" s="12">
        <v>1</v>
      </c>
      <c r="H69" s="8">
        <v>0.22</v>
      </c>
      <c r="I69" s="12">
        <v>0</v>
      </c>
    </row>
    <row r="71" spans="2:9" ht="15" customHeight="1" x14ac:dyDescent="0.2">
      <c r="B71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6A5D5-A149-4C5F-8614-A59583CA0938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282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198</v>
      </c>
      <c r="D6" s="8">
        <v>9.57</v>
      </c>
      <c r="E6" s="12">
        <v>13</v>
      </c>
      <c r="F6" s="8">
        <v>2.4700000000000002</v>
      </c>
      <c r="G6" s="12">
        <v>185</v>
      </c>
      <c r="H6" s="8">
        <v>12.02</v>
      </c>
      <c r="I6" s="12">
        <v>0</v>
      </c>
    </row>
    <row r="7" spans="2:9" ht="15" customHeight="1" x14ac:dyDescent="0.2">
      <c r="B7" t="s">
        <v>63</v>
      </c>
      <c r="C7" s="12">
        <v>115</v>
      </c>
      <c r="D7" s="8">
        <v>5.56</v>
      </c>
      <c r="E7" s="12">
        <v>13</v>
      </c>
      <c r="F7" s="8">
        <v>2.4700000000000002</v>
      </c>
      <c r="G7" s="12">
        <v>102</v>
      </c>
      <c r="H7" s="8">
        <v>6.63</v>
      </c>
      <c r="I7" s="12">
        <v>0</v>
      </c>
    </row>
    <row r="8" spans="2:9" ht="15" customHeight="1" x14ac:dyDescent="0.2">
      <c r="B8" t="s">
        <v>64</v>
      </c>
      <c r="C8" s="12">
        <v>6</v>
      </c>
      <c r="D8" s="8">
        <v>0.28999999999999998</v>
      </c>
      <c r="E8" s="12">
        <v>0</v>
      </c>
      <c r="F8" s="8">
        <v>0</v>
      </c>
      <c r="G8" s="12">
        <v>6</v>
      </c>
      <c r="H8" s="8">
        <v>0.39</v>
      </c>
      <c r="I8" s="12">
        <v>0</v>
      </c>
    </row>
    <row r="9" spans="2:9" ht="15" customHeight="1" x14ac:dyDescent="0.2">
      <c r="B9" t="s">
        <v>65</v>
      </c>
      <c r="C9" s="12">
        <v>96</v>
      </c>
      <c r="D9" s="8">
        <v>4.6399999999999997</v>
      </c>
      <c r="E9" s="12">
        <v>0</v>
      </c>
      <c r="F9" s="8">
        <v>0</v>
      </c>
      <c r="G9" s="12">
        <v>96</v>
      </c>
      <c r="H9" s="8">
        <v>6.24</v>
      </c>
      <c r="I9" s="12">
        <v>0</v>
      </c>
    </row>
    <row r="10" spans="2:9" ht="15" customHeight="1" x14ac:dyDescent="0.2">
      <c r="B10" t="s">
        <v>66</v>
      </c>
      <c r="C10" s="12">
        <v>31</v>
      </c>
      <c r="D10" s="8">
        <v>1.5</v>
      </c>
      <c r="E10" s="12">
        <v>2</v>
      </c>
      <c r="F10" s="8">
        <v>0.38</v>
      </c>
      <c r="G10" s="12">
        <v>29</v>
      </c>
      <c r="H10" s="8">
        <v>1.88</v>
      </c>
      <c r="I10" s="12">
        <v>0</v>
      </c>
    </row>
    <row r="11" spans="2:9" ht="15" customHeight="1" x14ac:dyDescent="0.2">
      <c r="B11" t="s">
        <v>67</v>
      </c>
      <c r="C11" s="12">
        <v>429</v>
      </c>
      <c r="D11" s="8">
        <v>20.73</v>
      </c>
      <c r="E11" s="12">
        <v>78</v>
      </c>
      <c r="F11" s="8">
        <v>14.83</v>
      </c>
      <c r="G11" s="12">
        <v>350</v>
      </c>
      <c r="H11" s="8">
        <v>22.74</v>
      </c>
      <c r="I11" s="12">
        <v>1</v>
      </c>
    </row>
    <row r="12" spans="2:9" ht="15" customHeight="1" x14ac:dyDescent="0.2">
      <c r="B12" t="s">
        <v>68</v>
      </c>
      <c r="C12" s="12">
        <v>17</v>
      </c>
      <c r="D12" s="8">
        <v>0.82</v>
      </c>
      <c r="E12" s="12">
        <v>0</v>
      </c>
      <c r="F12" s="8">
        <v>0</v>
      </c>
      <c r="G12" s="12">
        <v>17</v>
      </c>
      <c r="H12" s="8">
        <v>1.1000000000000001</v>
      </c>
      <c r="I12" s="12">
        <v>0</v>
      </c>
    </row>
    <row r="13" spans="2:9" ht="15" customHeight="1" x14ac:dyDescent="0.2">
      <c r="B13" t="s">
        <v>69</v>
      </c>
      <c r="C13" s="12">
        <v>297</v>
      </c>
      <c r="D13" s="8">
        <v>14.35</v>
      </c>
      <c r="E13" s="12">
        <v>26</v>
      </c>
      <c r="F13" s="8">
        <v>4.9400000000000004</v>
      </c>
      <c r="G13" s="12">
        <v>271</v>
      </c>
      <c r="H13" s="8">
        <v>17.61</v>
      </c>
      <c r="I13" s="12">
        <v>0</v>
      </c>
    </row>
    <row r="14" spans="2:9" ht="15" customHeight="1" x14ac:dyDescent="0.2">
      <c r="B14" t="s">
        <v>70</v>
      </c>
      <c r="C14" s="12">
        <v>180</v>
      </c>
      <c r="D14" s="8">
        <v>8.6999999999999993</v>
      </c>
      <c r="E14" s="12">
        <v>30</v>
      </c>
      <c r="F14" s="8">
        <v>5.7</v>
      </c>
      <c r="G14" s="12">
        <v>150</v>
      </c>
      <c r="H14" s="8">
        <v>9.75</v>
      </c>
      <c r="I14" s="12">
        <v>0</v>
      </c>
    </row>
    <row r="15" spans="2:9" ht="15" customHeight="1" x14ac:dyDescent="0.2">
      <c r="B15" t="s">
        <v>71</v>
      </c>
      <c r="C15" s="12">
        <v>195</v>
      </c>
      <c r="D15" s="8">
        <v>9.42</v>
      </c>
      <c r="E15" s="12">
        <v>121</v>
      </c>
      <c r="F15" s="8">
        <v>23</v>
      </c>
      <c r="G15" s="12">
        <v>74</v>
      </c>
      <c r="H15" s="8">
        <v>4.8099999999999996</v>
      </c>
      <c r="I15" s="12">
        <v>0</v>
      </c>
    </row>
    <row r="16" spans="2:9" ht="15" customHeight="1" x14ac:dyDescent="0.2">
      <c r="B16" t="s">
        <v>72</v>
      </c>
      <c r="C16" s="12">
        <v>227</v>
      </c>
      <c r="D16" s="8">
        <v>10.97</v>
      </c>
      <c r="E16" s="12">
        <v>131</v>
      </c>
      <c r="F16" s="8">
        <v>24.9</v>
      </c>
      <c r="G16" s="12">
        <v>95</v>
      </c>
      <c r="H16" s="8">
        <v>6.17</v>
      </c>
      <c r="I16" s="12">
        <v>0</v>
      </c>
    </row>
    <row r="17" spans="2:9" ht="15" customHeight="1" x14ac:dyDescent="0.2">
      <c r="B17" t="s">
        <v>73</v>
      </c>
      <c r="C17" s="12">
        <v>80</v>
      </c>
      <c r="D17" s="8">
        <v>3.87</v>
      </c>
      <c r="E17" s="12">
        <v>37</v>
      </c>
      <c r="F17" s="8">
        <v>7.03</v>
      </c>
      <c r="G17" s="12">
        <v>42</v>
      </c>
      <c r="H17" s="8">
        <v>2.73</v>
      </c>
      <c r="I17" s="12">
        <v>1</v>
      </c>
    </row>
    <row r="18" spans="2:9" ht="15" customHeight="1" x14ac:dyDescent="0.2">
      <c r="B18" t="s">
        <v>74</v>
      </c>
      <c r="C18" s="12">
        <v>97</v>
      </c>
      <c r="D18" s="8">
        <v>4.6900000000000004</v>
      </c>
      <c r="E18" s="12">
        <v>66</v>
      </c>
      <c r="F18" s="8">
        <v>12.55</v>
      </c>
      <c r="G18" s="12">
        <v>31</v>
      </c>
      <c r="H18" s="8">
        <v>2.0099999999999998</v>
      </c>
      <c r="I18" s="12">
        <v>0</v>
      </c>
    </row>
    <row r="19" spans="2:9" ht="15" customHeight="1" x14ac:dyDescent="0.2">
      <c r="B19" t="s">
        <v>75</v>
      </c>
      <c r="C19" s="12">
        <v>101</v>
      </c>
      <c r="D19" s="8">
        <v>4.88</v>
      </c>
      <c r="E19" s="12">
        <v>9</v>
      </c>
      <c r="F19" s="8">
        <v>1.71</v>
      </c>
      <c r="G19" s="12">
        <v>91</v>
      </c>
      <c r="H19" s="8">
        <v>5.91</v>
      </c>
      <c r="I19" s="12">
        <v>0</v>
      </c>
    </row>
    <row r="20" spans="2:9" ht="15" customHeight="1" x14ac:dyDescent="0.2">
      <c r="B20" s="9" t="s">
        <v>248</v>
      </c>
      <c r="C20" s="12">
        <f>SUM(LTBL_12227[総数／事業所数])</f>
        <v>2069</v>
      </c>
      <c r="E20" s="12">
        <f>SUBTOTAL(109,LTBL_12227[個人／事業所数])</f>
        <v>526</v>
      </c>
      <c r="G20" s="12">
        <f>SUBTOTAL(109,LTBL_12227[法人／事業所数])</f>
        <v>1539</v>
      </c>
      <c r="I20" s="12">
        <f>SUBTOTAL(109,LTBL_12227[法人以外の団体／事業所数])</f>
        <v>2</v>
      </c>
    </row>
    <row r="21" spans="2:9" ht="15" customHeight="1" x14ac:dyDescent="0.2">
      <c r="E21" s="11">
        <f>LTBL_12227[[#Totals],[個人／事業所数]]/LTBL_12227[[#Totals],[総数／事業所数]]</f>
        <v>0.25422909618173029</v>
      </c>
      <c r="G21" s="11">
        <f>LTBL_12227[[#Totals],[法人／事業所数]]/LTBL_12227[[#Totals],[総数／事業所数]]</f>
        <v>0.74383760270662158</v>
      </c>
      <c r="I21" s="11">
        <f>LTBL_12227[[#Totals],[法人以外の団体／事業所数]]/LTBL_12227[[#Totals],[総数／事業所数]]</f>
        <v>9.666505558240696E-4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94</v>
      </c>
      <c r="C24" s="12">
        <v>241</v>
      </c>
      <c r="D24" s="8">
        <v>11.65</v>
      </c>
      <c r="E24" s="12">
        <v>25</v>
      </c>
      <c r="F24" s="8">
        <v>4.75</v>
      </c>
      <c r="G24" s="12">
        <v>216</v>
      </c>
      <c r="H24" s="8">
        <v>14.04</v>
      </c>
      <c r="I24" s="12">
        <v>0</v>
      </c>
    </row>
    <row r="25" spans="2:9" ht="15" customHeight="1" x14ac:dyDescent="0.2">
      <c r="B25" t="s">
        <v>98</v>
      </c>
      <c r="C25" s="12">
        <v>176</v>
      </c>
      <c r="D25" s="8">
        <v>8.51</v>
      </c>
      <c r="E25" s="12">
        <v>117</v>
      </c>
      <c r="F25" s="8">
        <v>22.24</v>
      </c>
      <c r="G25" s="12">
        <v>59</v>
      </c>
      <c r="H25" s="8">
        <v>3.83</v>
      </c>
      <c r="I25" s="12">
        <v>0</v>
      </c>
    </row>
    <row r="26" spans="2:9" ht="15" customHeight="1" x14ac:dyDescent="0.2">
      <c r="B26" t="s">
        <v>97</v>
      </c>
      <c r="C26" s="12">
        <v>172</v>
      </c>
      <c r="D26" s="8">
        <v>8.31</v>
      </c>
      <c r="E26" s="12">
        <v>116</v>
      </c>
      <c r="F26" s="8">
        <v>22.05</v>
      </c>
      <c r="G26" s="12">
        <v>56</v>
      </c>
      <c r="H26" s="8">
        <v>3.64</v>
      </c>
      <c r="I26" s="12">
        <v>0</v>
      </c>
    </row>
    <row r="27" spans="2:9" ht="15" customHeight="1" x14ac:dyDescent="0.2">
      <c r="B27" t="s">
        <v>95</v>
      </c>
      <c r="C27" s="12">
        <v>124</v>
      </c>
      <c r="D27" s="8">
        <v>5.99</v>
      </c>
      <c r="E27" s="12">
        <v>26</v>
      </c>
      <c r="F27" s="8">
        <v>4.9400000000000004</v>
      </c>
      <c r="G27" s="12">
        <v>98</v>
      </c>
      <c r="H27" s="8">
        <v>6.37</v>
      </c>
      <c r="I27" s="12">
        <v>0</v>
      </c>
    </row>
    <row r="28" spans="2:9" ht="15" customHeight="1" x14ac:dyDescent="0.2">
      <c r="B28" t="s">
        <v>92</v>
      </c>
      <c r="C28" s="12">
        <v>86</v>
      </c>
      <c r="D28" s="8">
        <v>4.16</v>
      </c>
      <c r="E28" s="12">
        <v>27</v>
      </c>
      <c r="F28" s="8">
        <v>5.13</v>
      </c>
      <c r="G28" s="12">
        <v>58</v>
      </c>
      <c r="H28" s="8">
        <v>3.77</v>
      </c>
      <c r="I28" s="12">
        <v>1</v>
      </c>
    </row>
    <row r="29" spans="2:9" ht="15" customHeight="1" x14ac:dyDescent="0.2">
      <c r="B29" t="s">
        <v>85</v>
      </c>
      <c r="C29" s="12">
        <v>82</v>
      </c>
      <c r="D29" s="8">
        <v>3.96</v>
      </c>
      <c r="E29" s="12">
        <v>5</v>
      </c>
      <c r="F29" s="8">
        <v>0.95</v>
      </c>
      <c r="G29" s="12">
        <v>77</v>
      </c>
      <c r="H29" s="8">
        <v>5</v>
      </c>
      <c r="I29" s="12">
        <v>0</v>
      </c>
    </row>
    <row r="30" spans="2:9" ht="15" customHeight="1" x14ac:dyDescent="0.2">
      <c r="B30" t="s">
        <v>101</v>
      </c>
      <c r="C30" s="12">
        <v>81</v>
      </c>
      <c r="D30" s="8">
        <v>3.91</v>
      </c>
      <c r="E30" s="12">
        <v>66</v>
      </c>
      <c r="F30" s="8">
        <v>12.55</v>
      </c>
      <c r="G30" s="12">
        <v>15</v>
      </c>
      <c r="H30" s="8">
        <v>0.97</v>
      </c>
      <c r="I30" s="12">
        <v>0</v>
      </c>
    </row>
    <row r="31" spans="2:9" ht="15" customHeight="1" x14ac:dyDescent="0.2">
      <c r="B31" t="s">
        <v>100</v>
      </c>
      <c r="C31" s="12">
        <v>80</v>
      </c>
      <c r="D31" s="8">
        <v>3.87</v>
      </c>
      <c r="E31" s="12">
        <v>37</v>
      </c>
      <c r="F31" s="8">
        <v>7.03</v>
      </c>
      <c r="G31" s="12">
        <v>42</v>
      </c>
      <c r="H31" s="8">
        <v>2.73</v>
      </c>
      <c r="I31" s="12">
        <v>1</v>
      </c>
    </row>
    <row r="32" spans="2:9" ht="15" customHeight="1" x14ac:dyDescent="0.2">
      <c r="B32" t="s">
        <v>84</v>
      </c>
      <c r="C32" s="12">
        <v>76</v>
      </c>
      <c r="D32" s="8">
        <v>3.67</v>
      </c>
      <c r="E32" s="12">
        <v>3</v>
      </c>
      <c r="F32" s="8">
        <v>0.56999999999999995</v>
      </c>
      <c r="G32" s="12">
        <v>73</v>
      </c>
      <c r="H32" s="8">
        <v>4.74</v>
      </c>
      <c r="I32" s="12">
        <v>0</v>
      </c>
    </row>
    <row r="33" spans="2:9" ht="15" customHeight="1" x14ac:dyDescent="0.2">
      <c r="B33" t="s">
        <v>87</v>
      </c>
      <c r="C33" s="12">
        <v>70</v>
      </c>
      <c r="D33" s="8">
        <v>3.38</v>
      </c>
      <c r="E33" s="12">
        <v>2</v>
      </c>
      <c r="F33" s="8">
        <v>0.38</v>
      </c>
      <c r="G33" s="12">
        <v>68</v>
      </c>
      <c r="H33" s="8">
        <v>4.42</v>
      </c>
      <c r="I33" s="12">
        <v>0</v>
      </c>
    </row>
    <row r="34" spans="2:9" ht="15" customHeight="1" x14ac:dyDescent="0.2">
      <c r="B34" t="s">
        <v>90</v>
      </c>
      <c r="C34" s="12">
        <v>64</v>
      </c>
      <c r="D34" s="8">
        <v>3.09</v>
      </c>
      <c r="E34" s="12">
        <v>25</v>
      </c>
      <c r="F34" s="8">
        <v>4.75</v>
      </c>
      <c r="G34" s="12">
        <v>39</v>
      </c>
      <c r="H34" s="8">
        <v>2.5299999999999998</v>
      </c>
      <c r="I34" s="12">
        <v>0</v>
      </c>
    </row>
    <row r="35" spans="2:9" ht="15" customHeight="1" x14ac:dyDescent="0.2">
      <c r="B35" t="s">
        <v>108</v>
      </c>
      <c r="C35" s="12">
        <v>56</v>
      </c>
      <c r="D35" s="8">
        <v>2.71</v>
      </c>
      <c r="E35" s="12">
        <v>0</v>
      </c>
      <c r="F35" s="8">
        <v>0</v>
      </c>
      <c r="G35" s="12">
        <v>56</v>
      </c>
      <c r="H35" s="8">
        <v>3.64</v>
      </c>
      <c r="I35" s="12">
        <v>0</v>
      </c>
    </row>
    <row r="36" spans="2:9" ht="15" customHeight="1" x14ac:dyDescent="0.2">
      <c r="B36" t="s">
        <v>96</v>
      </c>
      <c r="C36" s="12">
        <v>51</v>
      </c>
      <c r="D36" s="8">
        <v>2.46</v>
      </c>
      <c r="E36" s="12">
        <v>4</v>
      </c>
      <c r="F36" s="8">
        <v>0.76</v>
      </c>
      <c r="G36" s="12">
        <v>47</v>
      </c>
      <c r="H36" s="8">
        <v>3.05</v>
      </c>
      <c r="I36" s="12">
        <v>0</v>
      </c>
    </row>
    <row r="37" spans="2:9" ht="15" customHeight="1" x14ac:dyDescent="0.2">
      <c r="B37" t="s">
        <v>105</v>
      </c>
      <c r="C37" s="12">
        <v>51</v>
      </c>
      <c r="D37" s="8">
        <v>2.46</v>
      </c>
      <c r="E37" s="12">
        <v>0</v>
      </c>
      <c r="F37" s="8">
        <v>0</v>
      </c>
      <c r="G37" s="12">
        <v>51</v>
      </c>
      <c r="H37" s="8">
        <v>3.31</v>
      </c>
      <c r="I37" s="12">
        <v>0</v>
      </c>
    </row>
    <row r="38" spans="2:9" ht="15" customHeight="1" x14ac:dyDescent="0.2">
      <c r="B38" t="s">
        <v>93</v>
      </c>
      <c r="C38" s="12">
        <v>48</v>
      </c>
      <c r="D38" s="8">
        <v>2.3199999999999998</v>
      </c>
      <c r="E38" s="12">
        <v>1</v>
      </c>
      <c r="F38" s="8">
        <v>0.19</v>
      </c>
      <c r="G38" s="12">
        <v>47</v>
      </c>
      <c r="H38" s="8">
        <v>3.05</v>
      </c>
      <c r="I38" s="12">
        <v>0</v>
      </c>
    </row>
    <row r="39" spans="2:9" ht="15" customHeight="1" x14ac:dyDescent="0.2">
      <c r="B39" t="s">
        <v>89</v>
      </c>
      <c r="C39" s="12">
        <v>43</v>
      </c>
      <c r="D39" s="8">
        <v>2.08</v>
      </c>
      <c r="E39" s="12">
        <v>11</v>
      </c>
      <c r="F39" s="8">
        <v>2.09</v>
      </c>
      <c r="G39" s="12">
        <v>32</v>
      </c>
      <c r="H39" s="8">
        <v>2.08</v>
      </c>
      <c r="I39" s="12">
        <v>0</v>
      </c>
    </row>
    <row r="40" spans="2:9" ht="15" customHeight="1" x14ac:dyDescent="0.2">
      <c r="B40" t="s">
        <v>86</v>
      </c>
      <c r="C40" s="12">
        <v>40</v>
      </c>
      <c r="D40" s="8">
        <v>1.93</v>
      </c>
      <c r="E40" s="12">
        <v>5</v>
      </c>
      <c r="F40" s="8">
        <v>0.95</v>
      </c>
      <c r="G40" s="12">
        <v>35</v>
      </c>
      <c r="H40" s="8">
        <v>2.27</v>
      </c>
      <c r="I40" s="12">
        <v>0</v>
      </c>
    </row>
    <row r="41" spans="2:9" ht="15" customHeight="1" x14ac:dyDescent="0.2">
      <c r="B41" t="s">
        <v>109</v>
      </c>
      <c r="C41" s="12">
        <v>38</v>
      </c>
      <c r="D41" s="8">
        <v>1.84</v>
      </c>
      <c r="E41" s="12">
        <v>3</v>
      </c>
      <c r="F41" s="8">
        <v>0.56999999999999995</v>
      </c>
      <c r="G41" s="12">
        <v>35</v>
      </c>
      <c r="H41" s="8">
        <v>2.27</v>
      </c>
      <c r="I41" s="12">
        <v>0</v>
      </c>
    </row>
    <row r="42" spans="2:9" ht="15" customHeight="1" x14ac:dyDescent="0.2">
      <c r="B42" t="s">
        <v>104</v>
      </c>
      <c r="C42" s="12">
        <v>36</v>
      </c>
      <c r="D42" s="8">
        <v>1.74</v>
      </c>
      <c r="E42" s="12">
        <v>0</v>
      </c>
      <c r="F42" s="8">
        <v>0</v>
      </c>
      <c r="G42" s="12">
        <v>36</v>
      </c>
      <c r="H42" s="8">
        <v>2.34</v>
      </c>
      <c r="I42" s="12">
        <v>0</v>
      </c>
    </row>
    <row r="43" spans="2:9" ht="15" customHeight="1" x14ac:dyDescent="0.2">
      <c r="B43" t="s">
        <v>88</v>
      </c>
      <c r="C43" s="12">
        <v>32</v>
      </c>
      <c r="D43" s="8">
        <v>1.55</v>
      </c>
      <c r="E43" s="12">
        <v>0</v>
      </c>
      <c r="F43" s="8">
        <v>0</v>
      </c>
      <c r="G43" s="12">
        <v>32</v>
      </c>
      <c r="H43" s="8">
        <v>2.08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158</v>
      </c>
      <c r="C47" s="12">
        <v>156</v>
      </c>
      <c r="D47" s="8">
        <v>7.54</v>
      </c>
      <c r="E47" s="12">
        <v>17</v>
      </c>
      <c r="F47" s="8">
        <v>3.23</v>
      </c>
      <c r="G47" s="12">
        <v>139</v>
      </c>
      <c r="H47" s="8">
        <v>9.0299999999999994</v>
      </c>
      <c r="I47" s="12">
        <v>0</v>
      </c>
    </row>
    <row r="48" spans="2:9" ht="15" customHeight="1" x14ac:dyDescent="0.2">
      <c r="B48" t="s">
        <v>164</v>
      </c>
      <c r="C48" s="12">
        <v>72</v>
      </c>
      <c r="D48" s="8">
        <v>3.48</v>
      </c>
      <c r="E48" s="12">
        <v>53</v>
      </c>
      <c r="F48" s="8">
        <v>10.08</v>
      </c>
      <c r="G48" s="12">
        <v>19</v>
      </c>
      <c r="H48" s="8">
        <v>1.23</v>
      </c>
      <c r="I48" s="12">
        <v>0</v>
      </c>
    </row>
    <row r="49" spans="2:9" ht="15" customHeight="1" x14ac:dyDescent="0.2">
      <c r="B49" t="s">
        <v>159</v>
      </c>
      <c r="C49" s="12">
        <v>56</v>
      </c>
      <c r="D49" s="8">
        <v>2.71</v>
      </c>
      <c r="E49" s="12">
        <v>4</v>
      </c>
      <c r="F49" s="8">
        <v>0.76</v>
      </c>
      <c r="G49" s="12">
        <v>52</v>
      </c>
      <c r="H49" s="8">
        <v>3.38</v>
      </c>
      <c r="I49" s="12">
        <v>0</v>
      </c>
    </row>
    <row r="50" spans="2:9" ht="15" customHeight="1" x14ac:dyDescent="0.2">
      <c r="B50" t="s">
        <v>165</v>
      </c>
      <c r="C50" s="12">
        <v>55</v>
      </c>
      <c r="D50" s="8">
        <v>2.66</v>
      </c>
      <c r="E50" s="12">
        <v>27</v>
      </c>
      <c r="F50" s="8">
        <v>5.13</v>
      </c>
      <c r="G50" s="12">
        <v>27</v>
      </c>
      <c r="H50" s="8">
        <v>1.75</v>
      </c>
      <c r="I50" s="12">
        <v>1</v>
      </c>
    </row>
    <row r="51" spans="2:9" ht="15" customHeight="1" x14ac:dyDescent="0.2">
      <c r="B51" t="s">
        <v>162</v>
      </c>
      <c r="C51" s="12">
        <v>51</v>
      </c>
      <c r="D51" s="8">
        <v>2.46</v>
      </c>
      <c r="E51" s="12">
        <v>44</v>
      </c>
      <c r="F51" s="8">
        <v>8.3699999999999992</v>
      </c>
      <c r="G51" s="12">
        <v>7</v>
      </c>
      <c r="H51" s="8">
        <v>0.45</v>
      </c>
      <c r="I51" s="12">
        <v>0</v>
      </c>
    </row>
    <row r="52" spans="2:9" ht="15" customHeight="1" x14ac:dyDescent="0.2">
      <c r="B52" t="s">
        <v>163</v>
      </c>
      <c r="C52" s="12">
        <v>50</v>
      </c>
      <c r="D52" s="8">
        <v>2.42</v>
      </c>
      <c r="E52" s="12">
        <v>41</v>
      </c>
      <c r="F52" s="8">
        <v>7.79</v>
      </c>
      <c r="G52" s="12">
        <v>9</v>
      </c>
      <c r="H52" s="8">
        <v>0.57999999999999996</v>
      </c>
      <c r="I52" s="12">
        <v>0</v>
      </c>
    </row>
    <row r="53" spans="2:9" ht="15" customHeight="1" x14ac:dyDescent="0.2">
      <c r="B53" t="s">
        <v>161</v>
      </c>
      <c r="C53" s="12">
        <v>48</v>
      </c>
      <c r="D53" s="8">
        <v>2.3199999999999998</v>
      </c>
      <c r="E53" s="12">
        <v>28</v>
      </c>
      <c r="F53" s="8">
        <v>5.32</v>
      </c>
      <c r="G53" s="12">
        <v>20</v>
      </c>
      <c r="H53" s="8">
        <v>1.3</v>
      </c>
      <c r="I53" s="12">
        <v>0</v>
      </c>
    </row>
    <row r="54" spans="2:9" ht="15" customHeight="1" x14ac:dyDescent="0.2">
      <c r="B54" t="s">
        <v>182</v>
      </c>
      <c r="C54" s="12">
        <v>47</v>
      </c>
      <c r="D54" s="8">
        <v>2.27</v>
      </c>
      <c r="E54" s="12">
        <v>0</v>
      </c>
      <c r="F54" s="8">
        <v>0</v>
      </c>
      <c r="G54" s="12">
        <v>47</v>
      </c>
      <c r="H54" s="8">
        <v>3.05</v>
      </c>
      <c r="I54" s="12">
        <v>0</v>
      </c>
    </row>
    <row r="55" spans="2:9" ht="15" customHeight="1" x14ac:dyDescent="0.2">
      <c r="B55" t="s">
        <v>205</v>
      </c>
      <c r="C55" s="12">
        <v>47</v>
      </c>
      <c r="D55" s="8">
        <v>2.27</v>
      </c>
      <c r="E55" s="12">
        <v>0</v>
      </c>
      <c r="F55" s="8">
        <v>0</v>
      </c>
      <c r="G55" s="12">
        <v>47</v>
      </c>
      <c r="H55" s="8">
        <v>3.05</v>
      </c>
      <c r="I55" s="12">
        <v>0</v>
      </c>
    </row>
    <row r="56" spans="2:9" ht="15" customHeight="1" x14ac:dyDescent="0.2">
      <c r="B56" t="s">
        <v>166</v>
      </c>
      <c r="C56" s="12">
        <v>46</v>
      </c>
      <c r="D56" s="8">
        <v>2.2200000000000002</v>
      </c>
      <c r="E56" s="12">
        <v>38</v>
      </c>
      <c r="F56" s="8">
        <v>7.22</v>
      </c>
      <c r="G56" s="12">
        <v>8</v>
      </c>
      <c r="H56" s="8">
        <v>0.52</v>
      </c>
      <c r="I56" s="12">
        <v>0</v>
      </c>
    </row>
    <row r="57" spans="2:9" ht="15" customHeight="1" x14ac:dyDescent="0.2">
      <c r="B57" t="s">
        <v>178</v>
      </c>
      <c r="C57" s="12">
        <v>43</v>
      </c>
      <c r="D57" s="8">
        <v>2.08</v>
      </c>
      <c r="E57" s="12">
        <v>1</v>
      </c>
      <c r="F57" s="8">
        <v>0.19</v>
      </c>
      <c r="G57" s="12">
        <v>42</v>
      </c>
      <c r="H57" s="8">
        <v>2.73</v>
      </c>
      <c r="I57" s="12">
        <v>0</v>
      </c>
    </row>
    <row r="58" spans="2:9" ht="15" customHeight="1" x14ac:dyDescent="0.2">
      <c r="B58" t="s">
        <v>171</v>
      </c>
      <c r="C58" s="12">
        <v>37</v>
      </c>
      <c r="D58" s="8">
        <v>1.79</v>
      </c>
      <c r="E58" s="12">
        <v>1</v>
      </c>
      <c r="F58" s="8">
        <v>0.19</v>
      </c>
      <c r="G58" s="12">
        <v>36</v>
      </c>
      <c r="H58" s="8">
        <v>2.34</v>
      </c>
      <c r="I58" s="12">
        <v>0</v>
      </c>
    </row>
    <row r="59" spans="2:9" ht="15" customHeight="1" x14ac:dyDescent="0.2">
      <c r="B59" t="s">
        <v>156</v>
      </c>
      <c r="C59" s="12">
        <v>32</v>
      </c>
      <c r="D59" s="8">
        <v>1.55</v>
      </c>
      <c r="E59" s="12">
        <v>15</v>
      </c>
      <c r="F59" s="8">
        <v>2.85</v>
      </c>
      <c r="G59" s="12">
        <v>17</v>
      </c>
      <c r="H59" s="8">
        <v>1.1000000000000001</v>
      </c>
      <c r="I59" s="12">
        <v>0</v>
      </c>
    </row>
    <row r="60" spans="2:9" ht="15" customHeight="1" x14ac:dyDescent="0.2">
      <c r="B60" t="s">
        <v>170</v>
      </c>
      <c r="C60" s="12">
        <v>32</v>
      </c>
      <c r="D60" s="8">
        <v>1.55</v>
      </c>
      <c r="E60" s="12">
        <v>28</v>
      </c>
      <c r="F60" s="8">
        <v>5.32</v>
      </c>
      <c r="G60" s="12">
        <v>4</v>
      </c>
      <c r="H60" s="8">
        <v>0.26</v>
      </c>
      <c r="I60" s="12">
        <v>0</v>
      </c>
    </row>
    <row r="61" spans="2:9" ht="15" customHeight="1" x14ac:dyDescent="0.2">
      <c r="B61" t="s">
        <v>186</v>
      </c>
      <c r="C61" s="12">
        <v>32</v>
      </c>
      <c r="D61" s="8">
        <v>1.55</v>
      </c>
      <c r="E61" s="12">
        <v>0</v>
      </c>
      <c r="F61" s="8">
        <v>0</v>
      </c>
      <c r="G61" s="12">
        <v>32</v>
      </c>
      <c r="H61" s="8">
        <v>2.08</v>
      </c>
      <c r="I61" s="12">
        <v>0</v>
      </c>
    </row>
    <row r="62" spans="2:9" ht="15" customHeight="1" x14ac:dyDescent="0.2">
      <c r="B62" t="s">
        <v>173</v>
      </c>
      <c r="C62" s="12">
        <v>31</v>
      </c>
      <c r="D62" s="8">
        <v>1.5</v>
      </c>
      <c r="E62" s="12">
        <v>16</v>
      </c>
      <c r="F62" s="8">
        <v>3.04</v>
      </c>
      <c r="G62" s="12">
        <v>15</v>
      </c>
      <c r="H62" s="8">
        <v>0.97</v>
      </c>
      <c r="I62" s="12">
        <v>0</v>
      </c>
    </row>
    <row r="63" spans="2:9" ht="15" customHeight="1" x14ac:dyDescent="0.2">
      <c r="B63" t="s">
        <v>184</v>
      </c>
      <c r="C63" s="12">
        <v>29</v>
      </c>
      <c r="D63" s="8">
        <v>1.4</v>
      </c>
      <c r="E63" s="12">
        <v>0</v>
      </c>
      <c r="F63" s="8">
        <v>0</v>
      </c>
      <c r="G63" s="12">
        <v>29</v>
      </c>
      <c r="H63" s="8">
        <v>1.88</v>
      </c>
      <c r="I63" s="12">
        <v>0</v>
      </c>
    </row>
    <row r="64" spans="2:9" ht="15" customHeight="1" x14ac:dyDescent="0.2">
      <c r="B64" t="s">
        <v>148</v>
      </c>
      <c r="C64" s="12">
        <v>27</v>
      </c>
      <c r="D64" s="8">
        <v>1.3</v>
      </c>
      <c r="E64" s="12">
        <v>1</v>
      </c>
      <c r="F64" s="8">
        <v>0.19</v>
      </c>
      <c r="G64" s="12">
        <v>26</v>
      </c>
      <c r="H64" s="8">
        <v>1.69</v>
      </c>
      <c r="I64" s="12">
        <v>0</v>
      </c>
    </row>
    <row r="65" spans="2:9" ht="15" customHeight="1" x14ac:dyDescent="0.2">
      <c r="B65" t="s">
        <v>154</v>
      </c>
      <c r="C65" s="12">
        <v>25</v>
      </c>
      <c r="D65" s="8">
        <v>1.21</v>
      </c>
      <c r="E65" s="12">
        <v>6</v>
      </c>
      <c r="F65" s="8">
        <v>1.1399999999999999</v>
      </c>
      <c r="G65" s="12">
        <v>19</v>
      </c>
      <c r="H65" s="8">
        <v>1.23</v>
      </c>
      <c r="I65" s="12">
        <v>0</v>
      </c>
    </row>
    <row r="66" spans="2:9" ht="15" customHeight="1" x14ac:dyDescent="0.2">
      <c r="B66" t="s">
        <v>176</v>
      </c>
      <c r="C66" s="12">
        <v>23</v>
      </c>
      <c r="D66" s="8">
        <v>1.1100000000000001</v>
      </c>
      <c r="E66" s="12">
        <v>1</v>
      </c>
      <c r="F66" s="8">
        <v>0.19</v>
      </c>
      <c r="G66" s="12">
        <v>22</v>
      </c>
      <c r="H66" s="8">
        <v>1.43</v>
      </c>
      <c r="I66" s="12">
        <v>0</v>
      </c>
    </row>
    <row r="67" spans="2:9" ht="15" customHeight="1" x14ac:dyDescent="0.2">
      <c r="B67" t="s">
        <v>168</v>
      </c>
      <c r="C67" s="12">
        <v>23</v>
      </c>
      <c r="D67" s="8">
        <v>1.1100000000000001</v>
      </c>
      <c r="E67" s="12">
        <v>4</v>
      </c>
      <c r="F67" s="8">
        <v>0.76</v>
      </c>
      <c r="G67" s="12">
        <v>19</v>
      </c>
      <c r="H67" s="8">
        <v>1.23</v>
      </c>
      <c r="I67" s="12">
        <v>0</v>
      </c>
    </row>
    <row r="68" spans="2:9" ht="15" customHeight="1" x14ac:dyDescent="0.2">
      <c r="B68" t="s">
        <v>160</v>
      </c>
      <c r="C68" s="12">
        <v>23</v>
      </c>
      <c r="D68" s="8">
        <v>1.1100000000000001</v>
      </c>
      <c r="E68" s="12">
        <v>2</v>
      </c>
      <c r="F68" s="8">
        <v>0.38</v>
      </c>
      <c r="G68" s="12">
        <v>21</v>
      </c>
      <c r="H68" s="8">
        <v>1.36</v>
      </c>
      <c r="I68" s="12">
        <v>0</v>
      </c>
    </row>
    <row r="69" spans="2:9" ht="15" customHeight="1" x14ac:dyDescent="0.2">
      <c r="B69" t="s">
        <v>169</v>
      </c>
      <c r="C69" s="12">
        <v>23</v>
      </c>
      <c r="D69" s="8">
        <v>1.1100000000000001</v>
      </c>
      <c r="E69" s="12">
        <v>7</v>
      </c>
      <c r="F69" s="8">
        <v>1.33</v>
      </c>
      <c r="G69" s="12">
        <v>16</v>
      </c>
      <c r="H69" s="8">
        <v>1.04</v>
      </c>
      <c r="I69" s="12">
        <v>0</v>
      </c>
    </row>
    <row r="71" spans="2:9" ht="15" customHeight="1" x14ac:dyDescent="0.2">
      <c r="B71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B6C5F-32EA-4AF8-AC4C-322F1A26536E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283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231</v>
      </c>
      <c r="D6" s="8">
        <v>17.100000000000001</v>
      </c>
      <c r="E6" s="12">
        <v>20</v>
      </c>
      <c r="F6" s="8">
        <v>4.2300000000000004</v>
      </c>
      <c r="G6" s="12">
        <v>211</v>
      </c>
      <c r="H6" s="8">
        <v>24.09</v>
      </c>
      <c r="I6" s="12">
        <v>0</v>
      </c>
    </row>
    <row r="7" spans="2:9" ht="15" customHeight="1" x14ac:dyDescent="0.2">
      <c r="B7" t="s">
        <v>63</v>
      </c>
      <c r="C7" s="12">
        <v>74</v>
      </c>
      <c r="D7" s="8">
        <v>5.48</v>
      </c>
      <c r="E7" s="12">
        <v>12</v>
      </c>
      <c r="F7" s="8">
        <v>2.54</v>
      </c>
      <c r="G7" s="12">
        <v>62</v>
      </c>
      <c r="H7" s="8">
        <v>7.08</v>
      </c>
      <c r="I7" s="12">
        <v>0</v>
      </c>
    </row>
    <row r="8" spans="2:9" ht="15" customHeight="1" x14ac:dyDescent="0.2">
      <c r="B8" t="s">
        <v>64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0.11</v>
      </c>
      <c r="I8" s="12">
        <v>0</v>
      </c>
    </row>
    <row r="9" spans="2:9" ht="15" customHeight="1" x14ac:dyDescent="0.2">
      <c r="B9" t="s">
        <v>65</v>
      </c>
      <c r="C9" s="12">
        <v>4</v>
      </c>
      <c r="D9" s="8">
        <v>0.3</v>
      </c>
      <c r="E9" s="12">
        <v>0</v>
      </c>
      <c r="F9" s="8">
        <v>0</v>
      </c>
      <c r="G9" s="12">
        <v>4</v>
      </c>
      <c r="H9" s="8">
        <v>0.46</v>
      </c>
      <c r="I9" s="12">
        <v>0</v>
      </c>
    </row>
    <row r="10" spans="2:9" ht="15" customHeight="1" x14ac:dyDescent="0.2">
      <c r="B10" t="s">
        <v>66</v>
      </c>
      <c r="C10" s="12">
        <v>13</v>
      </c>
      <c r="D10" s="8">
        <v>0.96</v>
      </c>
      <c r="E10" s="12">
        <v>0</v>
      </c>
      <c r="F10" s="8">
        <v>0</v>
      </c>
      <c r="G10" s="12">
        <v>13</v>
      </c>
      <c r="H10" s="8">
        <v>1.48</v>
      </c>
      <c r="I10" s="12">
        <v>0</v>
      </c>
    </row>
    <row r="11" spans="2:9" ht="15" customHeight="1" x14ac:dyDescent="0.2">
      <c r="B11" t="s">
        <v>67</v>
      </c>
      <c r="C11" s="12">
        <v>324</v>
      </c>
      <c r="D11" s="8">
        <v>23.98</v>
      </c>
      <c r="E11" s="12">
        <v>88</v>
      </c>
      <c r="F11" s="8">
        <v>18.600000000000001</v>
      </c>
      <c r="G11" s="12">
        <v>236</v>
      </c>
      <c r="H11" s="8">
        <v>26.94</v>
      </c>
      <c r="I11" s="12">
        <v>0</v>
      </c>
    </row>
    <row r="12" spans="2:9" ht="15" customHeight="1" x14ac:dyDescent="0.2">
      <c r="B12" t="s">
        <v>68</v>
      </c>
      <c r="C12" s="12">
        <v>9</v>
      </c>
      <c r="D12" s="8">
        <v>0.67</v>
      </c>
      <c r="E12" s="12">
        <v>0</v>
      </c>
      <c r="F12" s="8">
        <v>0</v>
      </c>
      <c r="G12" s="12">
        <v>9</v>
      </c>
      <c r="H12" s="8">
        <v>1.03</v>
      </c>
      <c r="I12" s="12">
        <v>0</v>
      </c>
    </row>
    <row r="13" spans="2:9" ht="15" customHeight="1" x14ac:dyDescent="0.2">
      <c r="B13" t="s">
        <v>69</v>
      </c>
      <c r="C13" s="12">
        <v>127</v>
      </c>
      <c r="D13" s="8">
        <v>9.4</v>
      </c>
      <c r="E13" s="12">
        <v>14</v>
      </c>
      <c r="F13" s="8">
        <v>2.96</v>
      </c>
      <c r="G13" s="12">
        <v>113</v>
      </c>
      <c r="H13" s="8">
        <v>12.9</v>
      </c>
      <c r="I13" s="12">
        <v>0</v>
      </c>
    </row>
    <row r="14" spans="2:9" ht="15" customHeight="1" x14ac:dyDescent="0.2">
      <c r="B14" t="s">
        <v>70</v>
      </c>
      <c r="C14" s="12">
        <v>74</v>
      </c>
      <c r="D14" s="8">
        <v>5.48</v>
      </c>
      <c r="E14" s="12">
        <v>24</v>
      </c>
      <c r="F14" s="8">
        <v>5.07</v>
      </c>
      <c r="G14" s="12">
        <v>50</v>
      </c>
      <c r="H14" s="8">
        <v>5.71</v>
      </c>
      <c r="I14" s="12">
        <v>0</v>
      </c>
    </row>
    <row r="15" spans="2:9" ht="15" customHeight="1" x14ac:dyDescent="0.2">
      <c r="B15" t="s">
        <v>71</v>
      </c>
      <c r="C15" s="12">
        <v>104</v>
      </c>
      <c r="D15" s="8">
        <v>7.7</v>
      </c>
      <c r="E15" s="12">
        <v>76</v>
      </c>
      <c r="F15" s="8">
        <v>16.07</v>
      </c>
      <c r="G15" s="12">
        <v>27</v>
      </c>
      <c r="H15" s="8">
        <v>3.08</v>
      </c>
      <c r="I15" s="12">
        <v>0</v>
      </c>
    </row>
    <row r="16" spans="2:9" ht="15" customHeight="1" x14ac:dyDescent="0.2">
      <c r="B16" t="s">
        <v>72</v>
      </c>
      <c r="C16" s="12">
        <v>187</v>
      </c>
      <c r="D16" s="8">
        <v>13.84</v>
      </c>
      <c r="E16" s="12">
        <v>128</v>
      </c>
      <c r="F16" s="8">
        <v>27.06</v>
      </c>
      <c r="G16" s="12">
        <v>59</v>
      </c>
      <c r="H16" s="8">
        <v>6.74</v>
      </c>
      <c r="I16" s="12">
        <v>0</v>
      </c>
    </row>
    <row r="17" spans="2:9" ht="15" customHeight="1" x14ac:dyDescent="0.2">
      <c r="B17" t="s">
        <v>73</v>
      </c>
      <c r="C17" s="12">
        <v>71</v>
      </c>
      <c r="D17" s="8">
        <v>5.26</v>
      </c>
      <c r="E17" s="12">
        <v>48</v>
      </c>
      <c r="F17" s="8">
        <v>10.15</v>
      </c>
      <c r="G17" s="12">
        <v>23</v>
      </c>
      <c r="H17" s="8">
        <v>2.63</v>
      </c>
      <c r="I17" s="12">
        <v>0</v>
      </c>
    </row>
    <row r="18" spans="2:9" ht="15" customHeight="1" x14ac:dyDescent="0.2">
      <c r="B18" t="s">
        <v>74</v>
      </c>
      <c r="C18" s="12">
        <v>75</v>
      </c>
      <c r="D18" s="8">
        <v>5.55</v>
      </c>
      <c r="E18" s="12">
        <v>47</v>
      </c>
      <c r="F18" s="8">
        <v>9.94</v>
      </c>
      <c r="G18" s="12">
        <v>28</v>
      </c>
      <c r="H18" s="8">
        <v>3.2</v>
      </c>
      <c r="I18" s="12">
        <v>0</v>
      </c>
    </row>
    <row r="19" spans="2:9" ht="15" customHeight="1" x14ac:dyDescent="0.2">
      <c r="B19" t="s">
        <v>75</v>
      </c>
      <c r="C19" s="12">
        <v>57</v>
      </c>
      <c r="D19" s="8">
        <v>4.22</v>
      </c>
      <c r="E19" s="12">
        <v>16</v>
      </c>
      <c r="F19" s="8">
        <v>3.38</v>
      </c>
      <c r="G19" s="12">
        <v>40</v>
      </c>
      <c r="H19" s="8">
        <v>4.57</v>
      </c>
      <c r="I19" s="12">
        <v>0</v>
      </c>
    </row>
    <row r="20" spans="2:9" ht="15" customHeight="1" x14ac:dyDescent="0.2">
      <c r="B20" s="9" t="s">
        <v>248</v>
      </c>
      <c r="C20" s="12">
        <f>SUM(LTBL_12228[総数／事業所数])</f>
        <v>1351</v>
      </c>
      <c r="E20" s="12">
        <f>SUBTOTAL(109,LTBL_12228[個人／事業所数])</f>
        <v>473</v>
      </c>
      <c r="G20" s="12">
        <f>SUBTOTAL(109,LTBL_12228[法人／事業所数])</f>
        <v>876</v>
      </c>
      <c r="I20" s="12">
        <f>SUBTOTAL(109,LTBL_12228[法人以外の団体／事業所数])</f>
        <v>0</v>
      </c>
    </row>
    <row r="21" spans="2:9" ht="15" customHeight="1" x14ac:dyDescent="0.2">
      <c r="E21" s="11">
        <f>LTBL_12228[[#Totals],[個人／事業所数]]/LTBL_12228[[#Totals],[総数／事業所数]]</f>
        <v>0.35011102886750556</v>
      </c>
      <c r="G21" s="11">
        <f>LTBL_12228[[#Totals],[法人／事業所数]]/LTBL_12228[[#Totals],[総数／事業所数]]</f>
        <v>0.64840858623242048</v>
      </c>
      <c r="I21" s="11">
        <f>LTBL_12228[[#Totals],[法人以外の団体／事業所数]]/LTBL_12228[[#Totals],[総数／事業所数]]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146</v>
      </c>
      <c r="D24" s="8">
        <v>10.81</v>
      </c>
      <c r="E24" s="12">
        <v>115</v>
      </c>
      <c r="F24" s="8">
        <v>24.31</v>
      </c>
      <c r="G24" s="12">
        <v>31</v>
      </c>
      <c r="H24" s="8">
        <v>3.54</v>
      </c>
      <c r="I24" s="12">
        <v>0</v>
      </c>
    </row>
    <row r="25" spans="2:9" ht="15" customHeight="1" x14ac:dyDescent="0.2">
      <c r="B25" t="s">
        <v>97</v>
      </c>
      <c r="C25" s="12">
        <v>98</v>
      </c>
      <c r="D25" s="8">
        <v>7.25</v>
      </c>
      <c r="E25" s="12">
        <v>76</v>
      </c>
      <c r="F25" s="8">
        <v>16.07</v>
      </c>
      <c r="G25" s="12">
        <v>22</v>
      </c>
      <c r="H25" s="8">
        <v>2.5099999999999998</v>
      </c>
      <c r="I25" s="12">
        <v>0</v>
      </c>
    </row>
    <row r="26" spans="2:9" ht="15" customHeight="1" x14ac:dyDescent="0.2">
      <c r="B26" t="s">
        <v>94</v>
      </c>
      <c r="C26" s="12">
        <v>92</v>
      </c>
      <c r="D26" s="8">
        <v>6.81</v>
      </c>
      <c r="E26" s="12">
        <v>13</v>
      </c>
      <c r="F26" s="8">
        <v>2.75</v>
      </c>
      <c r="G26" s="12">
        <v>79</v>
      </c>
      <c r="H26" s="8">
        <v>9.02</v>
      </c>
      <c r="I26" s="12">
        <v>0</v>
      </c>
    </row>
    <row r="27" spans="2:9" ht="15" customHeight="1" x14ac:dyDescent="0.2">
      <c r="B27" t="s">
        <v>84</v>
      </c>
      <c r="C27" s="12">
        <v>85</v>
      </c>
      <c r="D27" s="8">
        <v>6.29</v>
      </c>
      <c r="E27" s="12">
        <v>6</v>
      </c>
      <c r="F27" s="8">
        <v>1.27</v>
      </c>
      <c r="G27" s="12">
        <v>79</v>
      </c>
      <c r="H27" s="8">
        <v>9.02</v>
      </c>
      <c r="I27" s="12">
        <v>0</v>
      </c>
    </row>
    <row r="28" spans="2:9" ht="15" customHeight="1" x14ac:dyDescent="0.2">
      <c r="B28" t="s">
        <v>86</v>
      </c>
      <c r="C28" s="12">
        <v>78</v>
      </c>
      <c r="D28" s="8">
        <v>5.77</v>
      </c>
      <c r="E28" s="12">
        <v>2</v>
      </c>
      <c r="F28" s="8">
        <v>0.42</v>
      </c>
      <c r="G28" s="12">
        <v>76</v>
      </c>
      <c r="H28" s="8">
        <v>8.68</v>
      </c>
      <c r="I28" s="12">
        <v>0</v>
      </c>
    </row>
    <row r="29" spans="2:9" ht="15" customHeight="1" x14ac:dyDescent="0.2">
      <c r="B29" t="s">
        <v>100</v>
      </c>
      <c r="C29" s="12">
        <v>71</v>
      </c>
      <c r="D29" s="8">
        <v>5.26</v>
      </c>
      <c r="E29" s="12">
        <v>48</v>
      </c>
      <c r="F29" s="8">
        <v>10.15</v>
      </c>
      <c r="G29" s="12">
        <v>23</v>
      </c>
      <c r="H29" s="8">
        <v>2.63</v>
      </c>
      <c r="I29" s="12">
        <v>0</v>
      </c>
    </row>
    <row r="30" spans="2:9" ht="15" customHeight="1" x14ac:dyDescent="0.2">
      <c r="B30" t="s">
        <v>85</v>
      </c>
      <c r="C30" s="12">
        <v>68</v>
      </c>
      <c r="D30" s="8">
        <v>5.03</v>
      </c>
      <c r="E30" s="12">
        <v>12</v>
      </c>
      <c r="F30" s="8">
        <v>2.54</v>
      </c>
      <c r="G30" s="12">
        <v>56</v>
      </c>
      <c r="H30" s="8">
        <v>6.39</v>
      </c>
      <c r="I30" s="12">
        <v>0</v>
      </c>
    </row>
    <row r="31" spans="2:9" ht="15" customHeight="1" x14ac:dyDescent="0.2">
      <c r="B31" t="s">
        <v>88</v>
      </c>
      <c r="C31" s="12">
        <v>68</v>
      </c>
      <c r="D31" s="8">
        <v>5.03</v>
      </c>
      <c r="E31" s="12">
        <v>5</v>
      </c>
      <c r="F31" s="8">
        <v>1.06</v>
      </c>
      <c r="G31" s="12">
        <v>63</v>
      </c>
      <c r="H31" s="8">
        <v>7.19</v>
      </c>
      <c r="I31" s="12">
        <v>0</v>
      </c>
    </row>
    <row r="32" spans="2:9" ht="15" customHeight="1" x14ac:dyDescent="0.2">
      <c r="B32" t="s">
        <v>92</v>
      </c>
      <c r="C32" s="12">
        <v>67</v>
      </c>
      <c r="D32" s="8">
        <v>4.96</v>
      </c>
      <c r="E32" s="12">
        <v>26</v>
      </c>
      <c r="F32" s="8">
        <v>5.5</v>
      </c>
      <c r="G32" s="12">
        <v>41</v>
      </c>
      <c r="H32" s="8">
        <v>4.68</v>
      </c>
      <c r="I32" s="12">
        <v>0</v>
      </c>
    </row>
    <row r="33" spans="2:9" ht="15" customHeight="1" x14ac:dyDescent="0.2">
      <c r="B33" t="s">
        <v>91</v>
      </c>
      <c r="C33" s="12">
        <v>56</v>
      </c>
      <c r="D33" s="8">
        <v>4.1500000000000004</v>
      </c>
      <c r="E33" s="12">
        <v>16</v>
      </c>
      <c r="F33" s="8">
        <v>3.38</v>
      </c>
      <c r="G33" s="12">
        <v>40</v>
      </c>
      <c r="H33" s="8">
        <v>4.57</v>
      </c>
      <c r="I33" s="12">
        <v>0</v>
      </c>
    </row>
    <row r="34" spans="2:9" ht="15" customHeight="1" x14ac:dyDescent="0.2">
      <c r="B34" t="s">
        <v>101</v>
      </c>
      <c r="C34" s="12">
        <v>54</v>
      </c>
      <c r="D34" s="8">
        <v>4</v>
      </c>
      <c r="E34" s="12">
        <v>47</v>
      </c>
      <c r="F34" s="8">
        <v>9.94</v>
      </c>
      <c r="G34" s="12">
        <v>7</v>
      </c>
      <c r="H34" s="8">
        <v>0.8</v>
      </c>
      <c r="I34" s="12">
        <v>0</v>
      </c>
    </row>
    <row r="35" spans="2:9" ht="15" customHeight="1" x14ac:dyDescent="0.2">
      <c r="B35" t="s">
        <v>90</v>
      </c>
      <c r="C35" s="12">
        <v>51</v>
      </c>
      <c r="D35" s="8">
        <v>3.77</v>
      </c>
      <c r="E35" s="12">
        <v>28</v>
      </c>
      <c r="F35" s="8">
        <v>5.92</v>
      </c>
      <c r="G35" s="12">
        <v>23</v>
      </c>
      <c r="H35" s="8">
        <v>2.63</v>
      </c>
      <c r="I35" s="12">
        <v>0</v>
      </c>
    </row>
    <row r="36" spans="2:9" ht="15" customHeight="1" x14ac:dyDescent="0.2">
      <c r="B36" t="s">
        <v>96</v>
      </c>
      <c r="C36" s="12">
        <v>36</v>
      </c>
      <c r="D36" s="8">
        <v>2.66</v>
      </c>
      <c r="E36" s="12">
        <v>8</v>
      </c>
      <c r="F36" s="8">
        <v>1.69</v>
      </c>
      <c r="G36" s="12">
        <v>28</v>
      </c>
      <c r="H36" s="8">
        <v>3.2</v>
      </c>
      <c r="I36" s="12">
        <v>0</v>
      </c>
    </row>
    <row r="37" spans="2:9" ht="15" customHeight="1" x14ac:dyDescent="0.2">
      <c r="B37" t="s">
        <v>95</v>
      </c>
      <c r="C37" s="12">
        <v>33</v>
      </c>
      <c r="D37" s="8">
        <v>2.44</v>
      </c>
      <c r="E37" s="12">
        <v>16</v>
      </c>
      <c r="F37" s="8">
        <v>3.38</v>
      </c>
      <c r="G37" s="12">
        <v>17</v>
      </c>
      <c r="H37" s="8">
        <v>1.94</v>
      </c>
      <c r="I37" s="12">
        <v>0</v>
      </c>
    </row>
    <row r="38" spans="2:9" ht="15" customHeight="1" x14ac:dyDescent="0.2">
      <c r="B38" t="s">
        <v>103</v>
      </c>
      <c r="C38" s="12">
        <v>29</v>
      </c>
      <c r="D38" s="8">
        <v>2.15</v>
      </c>
      <c r="E38" s="12">
        <v>14</v>
      </c>
      <c r="F38" s="8">
        <v>2.96</v>
      </c>
      <c r="G38" s="12">
        <v>15</v>
      </c>
      <c r="H38" s="8">
        <v>1.71</v>
      </c>
      <c r="I38" s="12">
        <v>0</v>
      </c>
    </row>
    <row r="39" spans="2:9" ht="15" customHeight="1" x14ac:dyDescent="0.2">
      <c r="B39" t="s">
        <v>87</v>
      </c>
      <c r="C39" s="12">
        <v>28</v>
      </c>
      <c r="D39" s="8">
        <v>2.0699999999999998</v>
      </c>
      <c r="E39" s="12">
        <v>3</v>
      </c>
      <c r="F39" s="8">
        <v>0.63</v>
      </c>
      <c r="G39" s="12">
        <v>25</v>
      </c>
      <c r="H39" s="8">
        <v>2.85</v>
      </c>
      <c r="I39" s="12">
        <v>0</v>
      </c>
    </row>
    <row r="40" spans="2:9" ht="15" customHeight="1" x14ac:dyDescent="0.2">
      <c r="B40" t="s">
        <v>99</v>
      </c>
      <c r="C40" s="12">
        <v>27</v>
      </c>
      <c r="D40" s="8">
        <v>2</v>
      </c>
      <c r="E40" s="12">
        <v>11</v>
      </c>
      <c r="F40" s="8">
        <v>2.33</v>
      </c>
      <c r="G40" s="12">
        <v>16</v>
      </c>
      <c r="H40" s="8">
        <v>1.83</v>
      </c>
      <c r="I40" s="12">
        <v>0</v>
      </c>
    </row>
    <row r="41" spans="2:9" ht="15" customHeight="1" x14ac:dyDescent="0.2">
      <c r="B41" t="s">
        <v>102</v>
      </c>
      <c r="C41" s="12">
        <v>21</v>
      </c>
      <c r="D41" s="8">
        <v>1.55</v>
      </c>
      <c r="E41" s="12">
        <v>0</v>
      </c>
      <c r="F41" s="8">
        <v>0</v>
      </c>
      <c r="G41" s="12">
        <v>21</v>
      </c>
      <c r="H41" s="8">
        <v>2.4</v>
      </c>
      <c r="I41" s="12">
        <v>0</v>
      </c>
    </row>
    <row r="42" spans="2:9" ht="15" customHeight="1" x14ac:dyDescent="0.2">
      <c r="B42" t="s">
        <v>120</v>
      </c>
      <c r="C42" s="12">
        <v>19</v>
      </c>
      <c r="D42" s="8">
        <v>1.41</v>
      </c>
      <c r="E42" s="12">
        <v>0</v>
      </c>
      <c r="F42" s="8">
        <v>0</v>
      </c>
      <c r="G42" s="12">
        <v>19</v>
      </c>
      <c r="H42" s="8">
        <v>2.17</v>
      </c>
      <c r="I42" s="12">
        <v>0</v>
      </c>
    </row>
    <row r="43" spans="2:9" ht="15" customHeight="1" x14ac:dyDescent="0.2">
      <c r="B43" t="s">
        <v>93</v>
      </c>
      <c r="C43" s="12">
        <v>18</v>
      </c>
      <c r="D43" s="8">
        <v>1.33</v>
      </c>
      <c r="E43" s="12">
        <v>0</v>
      </c>
      <c r="F43" s="8">
        <v>0</v>
      </c>
      <c r="G43" s="12">
        <v>18</v>
      </c>
      <c r="H43" s="8">
        <v>2.0499999999999998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78</v>
      </c>
      <c r="D47" s="8">
        <v>5.77</v>
      </c>
      <c r="E47" s="12">
        <v>63</v>
      </c>
      <c r="F47" s="8">
        <v>13.32</v>
      </c>
      <c r="G47" s="12">
        <v>15</v>
      </c>
      <c r="H47" s="8">
        <v>1.71</v>
      </c>
      <c r="I47" s="12">
        <v>0</v>
      </c>
    </row>
    <row r="48" spans="2:9" ht="15" customHeight="1" x14ac:dyDescent="0.2">
      <c r="B48" t="s">
        <v>206</v>
      </c>
      <c r="C48" s="12">
        <v>48</v>
      </c>
      <c r="D48" s="8">
        <v>3.55</v>
      </c>
      <c r="E48" s="12">
        <v>3</v>
      </c>
      <c r="F48" s="8">
        <v>0.63</v>
      </c>
      <c r="G48" s="12">
        <v>45</v>
      </c>
      <c r="H48" s="8">
        <v>5.14</v>
      </c>
      <c r="I48" s="12">
        <v>0</v>
      </c>
    </row>
    <row r="49" spans="2:9" ht="15" customHeight="1" x14ac:dyDescent="0.2">
      <c r="B49" t="s">
        <v>158</v>
      </c>
      <c r="C49" s="12">
        <v>48</v>
      </c>
      <c r="D49" s="8">
        <v>3.55</v>
      </c>
      <c r="E49" s="12">
        <v>9</v>
      </c>
      <c r="F49" s="8">
        <v>1.9</v>
      </c>
      <c r="G49" s="12">
        <v>39</v>
      </c>
      <c r="H49" s="8">
        <v>4.45</v>
      </c>
      <c r="I49" s="12">
        <v>0</v>
      </c>
    </row>
    <row r="50" spans="2:9" ht="15" customHeight="1" x14ac:dyDescent="0.2">
      <c r="B50" t="s">
        <v>163</v>
      </c>
      <c r="C50" s="12">
        <v>41</v>
      </c>
      <c r="D50" s="8">
        <v>3.03</v>
      </c>
      <c r="E50" s="12">
        <v>39</v>
      </c>
      <c r="F50" s="8">
        <v>8.25</v>
      </c>
      <c r="G50" s="12">
        <v>2</v>
      </c>
      <c r="H50" s="8">
        <v>0.23</v>
      </c>
      <c r="I50" s="12">
        <v>0</v>
      </c>
    </row>
    <row r="51" spans="2:9" ht="15" customHeight="1" x14ac:dyDescent="0.2">
      <c r="B51" t="s">
        <v>165</v>
      </c>
      <c r="C51" s="12">
        <v>41</v>
      </c>
      <c r="D51" s="8">
        <v>3.03</v>
      </c>
      <c r="E51" s="12">
        <v>29</v>
      </c>
      <c r="F51" s="8">
        <v>6.13</v>
      </c>
      <c r="G51" s="12">
        <v>12</v>
      </c>
      <c r="H51" s="8">
        <v>1.37</v>
      </c>
      <c r="I51" s="12">
        <v>0</v>
      </c>
    </row>
    <row r="52" spans="2:9" ht="15" customHeight="1" x14ac:dyDescent="0.2">
      <c r="B52" t="s">
        <v>155</v>
      </c>
      <c r="C52" s="12">
        <v>39</v>
      </c>
      <c r="D52" s="8">
        <v>2.89</v>
      </c>
      <c r="E52" s="12">
        <v>7</v>
      </c>
      <c r="F52" s="8">
        <v>1.48</v>
      </c>
      <c r="G52" s="12">
        <v>32</v>
      </c>
      <c r="H52" s="8">
        <v>3.65</v>
      </c>
      <c r="I52" s="12">
        <v>0</v>
      </c>
    </row>
    <row r="53" spans="2:9" ht="15" customHeight="1" x14ac:dyDescent="0.2">
      <c r="B53" t="s">
        <v>166</v>
      </c>
      <c r="C53" s="12">
        <v>37</v>
      </c>
      <c r="D53" s="8">
        <v>2.74</v>
      </c>
      <c r="E53" s="12">
        <v>33</v>
      </c>
      <c r="F53" s="8">
        <v>6.98</v>
      </c>
      <c r="G53" s="12">
        <v>4</v>
      </c>
      <c r="H53" s="8">
        <v>0.46</v>
      </c>
      <c r="I53" s="12">
        <v>0</v>
      </c>
    </row>
    <row r="54" spans="2:9" ht="15" customHeight="1" x14ac:dyDescent="0.2">
      <c r="B54" t="s">
        <v>152</v>
      </c>
      <c r="C54" s="12">
        <v>31</v>
      </c>
      <c r="D54" s="8">
        <v>2.29</v>
      </c>
      <c r="E54" s="12">
        <v>1</v>
      </c>
      <c r="F54" s="8">
        <v>0.21</v>
      </c>
      <c r="G54" s="12">
        <v>30</v>
      </c>
      <c r="H54" s="8">
        <v>3.42</v>
      </c>
      <c r="I54" s="12">
        <v>0</v>
      </c>
    </row>
    <row r="55" spans="2:9" ht="15" customHeight="1" x14ac:dyDescent="0.2">
      <c r="B55" t="s">
        <v>161</v>
      </c>
      <c r="C55" s="12">
        <v>31</v>
      </c>
      <c r="D55" s="8">
        <v>2.29</v>
      </c>
      <c r="E55" s="12">
        <v>23</v>
      </c>
      <c r="F55" s="8">
        <v>4.8600000000000003</v>
      </c>
      <c r="G55" s="12">
        <v>8</v>
      </c>
      <c r="H55" s="8">
        <v>0.91</v>
      </c>
      <c r="I55" s="12">
        <v>0</v>
      </c>
    </row>
    <row r="56" spans="2:9" ht="15" customHeight="1" x14ac:dyDescent="0.2">
      <c r="B56" t="s">
        <v>180</v>
      </c>
      <c r="C56" s="12">
        <v>29</v>
      </c>
      <c r="D56" s="8">
        <v>2.15</v>
      </c>
      <c r="E56" s="12">
        <v>19</v>
      </c>
      <c r="F56" s="8">
        <v>4.0199999999999996</v>
      </c>
      <c r="G56" s="12">
        <v>10</v>
      </c>
      <c r="H56" s="8">
        <v>1.1399999999999999</v>
      </c>
      <c r="I56" s="12">
        <v>0</v>
      </c>
    </row>
    <row r="57" spans="2:9" ht="15" customHeight="1" x14ac:dyDescent="0.2">
      <c r="B57" t="s">
        <v>167</v>
      </c>
      <c r="C57" s="12">
        <v>29</v>
      </c>
      <c r="D57" s="8">
        <v>2.15</v>
      </c>
      <c r="E57" s="12">
        <v>14</v>
      </c>
      <c r="F57" s="8">
        <v>2.96</v>
      </c>
      <c r="G57" s="12">
        <v>15</v>
      </c>
      <c r="H57" s="8">
        <v>1.71</v>
      </c>
      <c r="I57" s="12">
        <v>0</v>
      </c>
    </row>
    <row r="58" spans="2:9" ht="15" customHeight="1" x14ac:dyDescent="0.2">
      <c r="B58" t="s">
        <v>162</v>
      </c>
      <c r="C58" s="12">
        <v>28</v>
      </c>
      <c r="D58" s="8">
        <v>2.0699999999999998</v>
      </c>
      <c r="E58" s="12">
        <v>20</v>
      </c>
      <c r="F58" s="8">
        <v>4.2300000000000004</v>
      </c>
      <c r="G58" s="12">
        <v>8</v>
      </c>
      <c r="H58" s="8">
        <v>0.91</v>
      </c>
      <c r="I58" s="12">
        <v>0</v>
      </c>
    </row>
    <row r="59" spans="2:9" ht="15" customHeight="1" x14ac:dyDescent="0.2">
      <c r="B59" t="s">
        <v>149</v>
      </c>
      <c r="C59" s="12">
        <v>26</v>
      </c>
      <c r="D59" s="8">
        <v>1.92</v>
      </c>
      <c r="E59" s="12">
        <v>2</v>
      </c>
      <c r="F59" s="8">
        <v>0.42</v>
      </c>
      <c r="G59" s="12">
        <v>24</v>
      </c>
      <c r="H59" s="8">
        <v>2.74</v>
      </c>
      <c r="I59" s="12">
        <v>0</v>
      </c>
    </row>
    <row r="60" spans="2:9" ht="15" customHeight="1" x14ac:dyDescent="0.2">
      <c r="B60" t="s">
        <v>156</v>
      </c>
      <c r="C60" s="12">
        <v>25</v>
      </c>
      <c r="D60" s="8">
        <v>1.85</v>
      </c>
      <c r="E60" s="12">
        <v>11</v>
      </c>
      <c r="F60" s="8">
        <v>2.33</v>
      </c>
      <c r="G60" s="12">
        <v>14</v>
      </c>
      <c r="H60" s="8">
        <v>1.6</v>
      </c>
      <c r="I60" s="12">
        <v>0</v>
      </c>
    </row>
    <row r="61" spans="2:9" ht="15" customHeight="1" x14ac:dyDescent="0.2">
      <c r="B61" t="s">
        <v>153</v>
      </c>
      <c r="C61" s="12">
        <v>24</v>
      </c>
      <c r="D61" s="8">
        <v>1.78</v>
      </c>
      <c r="E61" s="12">
        <v>0</v>
      </c>
      <c r="F61" s="8">
        <v>0</v>
      </c>
      <c r="G61" s="12">
        <v>24</v>
      </c>
      <c r="H61" s="8">
        <v>2.74</v>
      </c>
      <c r="I61" s="12">
        <v>0</v>
      </c>
    </row>
    <row r="62" spans="2:9" ht="15" customHeight="1" x14ac:dyDescent="0.2">
      <c r="B62" t="s">
        <v>159</v>
      </c>
      <c r="C62" s="12">
        <v>24</v>
      </c>
      <c r="D62" s="8">
        <v>1.78</v>
      </c>
      <c r="E62" s="12">
        <v>1</v>
      </c>
      <c r="F62" s="8">
        <v>0.21</v>
      </c>
      <c r="G62" s="12">
        <v>23</v>
      </c>
      <c r="H62" s="8">
        <v>2.63</v>
      </c>
      <c r="I62" s="12">
        <v>0</v>
      </c>
    </row>
    <row r="63" spans="2:9" ht="15" customHeight="1" x14ac:dyDescent="0.2">
      <c r="B63" t="s">
        <v>148</v>
      </c>
      <c r="C63" s="12">
        <v>22</v>
      </c>
      <c r="D63" s="8">
        <v>1.63</v>
      </c>
      <c r="E63" s="12">
        <v>0</v>
      </c>
      <c r="F63" s="8">
        <v>0</v>
      </c>
      <c r="G63" s="12">
        <v>22</v>
      </c>
      <c r="H63" s="8">
        <v>2.5099999999999998</v>
      </c>
      <c r="I63" s="12">
        <v>0</v>
      </c>
    </row>
    <row r="64" spans="2:9" ht="15" customHeight="1" x14ac:dyDescent="0.2">
      <c r="B64" t="s">
        <v>154</v>
      </c>
      <c r="C64" s="12">
        <v>22</v>
      </c>
      <c r="D64" s="8">
        <v>1.63</v>
      </c>
      <c r="E64" s="12">
        <v>13</v>
      </c>
      <c r="F64" s="8">
        <v>2.75</v>
      </c>
      <c r="G64" s="12">
        <v>9</v>
      </c>
      <c r="H64" s="8">
        <v>1.03</v>
      </c>
      <c r="I64" s="12">
        <v>0</v>
      </c>
    </row>
    <row r="65" spans="2:9" ht="15" customHeight="1" x14ac:dyDescent="0.2">
      <c r="B65" t="s">
        <v>174</v>
      </c>
      <c r="C65" s="12">
        <v>19</v>
      </c>
      <c r="D65" s="8">
        <v>1.41</v>
      </c>
      <c r="E65" s="12">
        <v>3</v>
      </c>
      <c r="F65" s="8">
        <v>0.63</v>
      </c>
      <c r="G65" s="12">
        <v>16</v>
      </c>
      <c r="H65" s="8">
        <v>1.83</v>
      </c>
      <c r="I65" s="12">
        <v>0</v>
      </c>
    </row>
    <row r="66" spans="2:9" ht="15" customHeight="1" x14ac:dyDescent="0.2">
      <c r="B66" t="s">
        <v>151</v>
      </c>
      <c r="C66" s="12">
        <v>18</v>
      </c>
      <c r="D66" s="8">
        <v>1.33</v>
      </c>
      <c r="E66" s="12">
        <v>3</v>
      </c>
      <c r="F66" s="8">
        <v>0.63</v>
      </c>
      <c r="G66" s="12">
        <v>15</v>
      </c>
      <c r="H66" s="8">
        <v>1.71</v>
      </c>
      <c r="I66" s="12">
        <v>0</v>
      </c>
    </row>
    <row r="67" spans="2:9" ht="15" customHeight="1" x14ac:dyDescent="0.2">
      <c r="B67" t="s">
        <v>190</v>
      </c>
      <c r="C67" s="12">
        <v>18</v>
      </c>
      <c r="D67" s="8">
        <v>1.33</v>
      </c>
      <c r="E67" s="12">
        <v>10</v>
      </c>
      <c r="F67" s="8">
        <v>2.11</v>
      </c>
      <c r="G67" s="12">
        <v>8</v>
      </c>
      <c r="H67" s="8">
        <v>0.91</v>
      </c>
      <c r="I67" s="12">
        <v>0</v>
      </c>
    </row>
    <row r="68" spans="2:9" ht="15" customHeight="1" x14ac:dyDescent="0.2">
      <c r="B68" t="s">
        <v>207</v>
      </c>
      <c r="C68" s="12">
        <v>18</v>
      </c>
      <c r="D68" s="8">
        <v>1.33</v>
      </c>
      <c r="E68" s="12">
        <v>0</v>
      </c>
      <c r="F68" s="8">
        <v>0</v>
      </c>
      <c r="G68" s="12">
        <v>18</v>
      </c>
      <c r="H68" s="8">
        <v>2.0499999999999998</v>
      </c>
      <c r="I68" s="12">
        <v>0</v>
      </c>
    </row>
    <row r="69" spans="2:9" ht="15" customHeight="1" x14ac:dyDescent="0.2">
      <c r="B69" t="s">
        <v>160</v>
      </c>
      <c r="C69" s="12">
        <v>18</v>
      </c>
      <c r="D69" s="8">
        <v>1.33</v>
      </c>
      <c r="E69" s="12">
        <v>3</v>
      </c>
      <c r="F69" s="8">
        <v>0.63</v>
      </c>
      <c r="G69" s="12">
        <v>15</v>
      </c>
      <c r="H69" s="8">
        <v>1.71</v>
      </c>
      <c r="I69" s="12">
        <v>0</v>
      </c>
    </row>
    <row r="70" spans="2:9" ht="15" customHeight="1" x14ac:dyDescent="0.2">
      <c r="B70" t="s">
        <v>179</v>
      </c>
      <c r="C70" s="12">
        <v>18</v>
      </c>
      <c r="D70" s="8">
        <v>1.33</v>
      </c>
      <c r="E70" s="12">
        <v>8</v>
      </c>
      <c r="F70" s="8">
        <v>1.69</v>
      </c>
      <c r="G70" s="12">
        <v>10</v>
      </c>
      <c r="H70" s="8">
        <v>1.1399999999999999</v>
      </c>
      <c r="I70" s="12">
        <v>0</v>
      </c>
    </row>
    <row r="72" spans="2:9" ht="15" customHeight="1" x14ac:dyDescent="0.2">
      <c r="B72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0D3F9-9E05-4E8F-8E1E-CD27A64F42E4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284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250</v>
      </c>
      <c r="D6" s="8">
        <v>23.41</v>
      </c>
      <c r="E6" s="12">
        <v>36</v>
      </c>
      <c r="F6" s="8">
        <v>8.7200000000000006</v>
      </c>
      <c r="G6" s="12">
        <v>214</v>
      </c>
      <c r="H6" s="8">
        <v>32.97</v>
      </c>
      <c r="I6" s="12">
        <v>0</v>
      </c>
    </row>
    <row r="7" spans="2:9" ht="15" customHeight="1" x14ac:dyDescent="0.2">
      <c r="B7" t="s">
        <v>63</v>
      </c>
      <c r="C7" s="12">
        <v>66</v>
      </c>
      <c r="D7" s="8">
        <v>6.18</v>
      </c>
      <c r="E7" s="12">
        <v>12</v>
      </c>
      <c r="F7" s="8">
        <v>2.91</v>
      </c>
      <c r="G7" s="12">
        <v>54</v>
      </c>
      <c r="H7" s="8">
        <v>8.32</v>
      </c>
      <c r="I7" s="12">
        <v>0</v>
      </c>
    </row>
    <row r="8" spans="2:9" ht="15" customHeight="1" x14ac:dyDescent="0.2">
      <c r="B8" t="s">
        <v>64</v>
      </c>
      <c r="C8" s="12">
        <v>4</v>
      </c>
      <c r="D8" s="8">
        <v>0.37</v>
      </c>
      <c r="E8" s="12">
        <v>0</v>
      </c>
      <c r="F8" s="8">
        <v>0</v>
      </c>
      <c r="G8" s="12">
        <v>3</v>
      </c>
      <c r="H8" s="8">
        <v>0.46</v>
      </c>
      <c r="I8" s="12">
        <v>0</v>
      </c>
    </row>
    <row r="9" spans="2:9" ht="15" customHeight="1" x14ac:dyDescent="0.2">
      <c r="B9" t="s">
        <v>65</v>
      </c>
      <c r="C9" s="12">
        <v>6</v>
      </c>
      <c r="D9" s="8">
        <v>0.56000000000000005</v>
      </c>
      <c r="E9" s="12">
        <v>1</v>
      </c>
      <c r="F9" s="8">
        <v>0.24</v>
      </c>
      <c r="G9" s="12">
        <v>5</v>
      </c>
      <c r="H9" s="8">
        <v>0.77</v>
      </c>
      <c r="I9" s="12">
        <v>0</v>
      </c>
    </row>
    <row r="10" spans="2:9" ht="15" customHeight="1" x14ac:dyDescent="0.2">
      <c r="B10" t="s">
        <v>66</v>
      </c>
      <c r="C10" s="12">
        <v>28</v>
      </c>
      <c r="D10" s="8">
        <v>2.62</v>
      </c>
      <c r="E10" s="12">
        <v>0</v>
      </c>
      <c r="F10" s="8">
        <v>0</v>
      </c>
      <c r="G10" s="12">
        <v>28</v>
      </c>
      <c r="H10" s="8">
        <v>4.3099999999999996</v>
      </c>
      <c r="I10" s="12">
        <v>0</v>
      </c>
    </row>
    <row r="11" spans="2:9" ht="15" customHeight="1" x14ac:dyDescent="0.2">
      <c r="B11" t="s">
        <v>67</v>
      </c>
      <c r="C11" s="12">
        <v>176</v>
      </c>
      <c r="D11" s="8">
        <v>16.48</v>
      </c>
      <c r="E11" s="12">
        <v>72</v>
      </c>
      <c r="F11" s="8">
        <v>17.43</v>
      </c>
      <c r="G11" s="12">
        <v>104</v>
      </c>
      <c r="H11" s="8">
        <v>16.02</v>
      </c>
      <c r="I11" s="12">
        <v>0</v>
      </c>
    </row>
    <row r="12" spans="2:9" ht="15" customHeight="1" x14ac:dyDescent="0.2">
      <c r="B12" t="s">
        <v>68</v>
      </c>
      <c r="C12" s="12">
        <v>8</v>
      </c>
      <c r="D12" s="8">
        <v>0.75</v>
      </c>
      <c r="E12" s="12">
        <v>1</v>
      </c>
      <c r="F12" s="8">
        <v>0.24</v>
      </c>
      <c r="G12" s="12">
        <v>7</v>
      </c>
      <c r="H12" s="8">
        <v>1.08</v>
      </c>
      <c r="I12" s="12">
        <v>0</v>
      </c>
    </row>
    <row r="13" spans="2:9" ht="15" customHeight="1" x14ac:dyDescent="0.2">
      <c r="B13" t="s">
        <v>69</v>
      </c>
      <c r="C13" s="12">
        <v>96</v>
      </c>
      <c r="D13" s="8">
        <v>8.99</v>
      </c>
      <c r="E13" s="12">
        <v>28</v>
      </c>
      <c r="F13" s="8">
        <v>6.78</v>
      </c>
      <c r="G13" s="12">
        <v>67</v>
      </c>
      <c r="H13" s="8">
        <v>10.32</v>
      </c>
      <c r="I13" s="12">
        <v>0</v>
      </c>
    </row>
    <row r="14" spans="2:9" ht="15" customHeight="1" x14ac:dyDescent="0.2">
      <c r="B14" t="s">
        <v>70</v>
      </c>
      <c r="C14" s="12">
        <v>51</v>
      </c>
      <c r="D14" s="8">
        <v>4.78</v>
      </c>
      <c r="E14" s="12">
        <v>19</v>
      </c>
      <c r="F14" s="8">
        <v>4.5999999999999996</v>
      </c>
      <c r="G14" s="12">
        <v>32</v>
      </c>
      <c r="H14" s="8">
        <v>4.93</v>
      </c>
      <c r="I14" s="12">
        <v>0</v>
      </c>
    </row>
    <row r="15" spans="2:9" ht="15" customHeight="1" x14ac:dyDescent="0.2">
      <c r="B15" t="s">
        <v>71</v>
      </c>
      <c r="C15" s="12">
        <v>110</v>
      </c>
      <c r="D15" s="8">
        <v>10.3</v>
      </c>
      <c r="E15" s="12">
        <v>85</v>
      </c>
      <c r="F15" s="8">
        <v>20.58</v>
      </c>
      <c r="G15" s="12">
        <v>25</v>
      </c>
      <c r="H15" s="8">
        <v>3.85</v>
      </c>
      <c r="I15" s="12">
        <v>0</v>
      </c>
    </row>
    <row r="16" spans="2:9" ht="15" customHeight="1" x14ac:dyDescent="0.2">
      <c r="B16" t="s">
        <v>72</v>
      </c>
      <c r="C16" s="12">
        <v>125</v>
      </c>
      <c r="D16" s="8">
        <v>11.7</v>
      </c>
      <c r="E16" s="12">
        <v>106</v>
      </c>
      <c r="F16" s="8">
        <v>25.67</v>
      </c>
      <c r="G16" s="12">
        <v>19</v>
      </c>
      <c r="H16" s="8">
        <v>2.93</v>
      </c>
      <c r="I16" s="12">
        <v>0</v>
      </c>
    </row>
    <row r="17" spans="2:9" ht="15" customHeight="1" x14ac:dyDescent="0.2">
      <c r="B17" t="s">
        <v>73</v>
      </c>
      <c r="C17" s="12">
        <v>30</v>
      </c>
      <c r="D17" s="8">
        <v>2.81</v>
      </c>
      <c r="E17" s="12">
        <v>15</v>
      </c>
      <c r="F17" s="8">
        <v>3.63</v>
      </c>
      <c r="G17" s="12">
        <v>11</v>
      </c>
      <c r="H17" s="8">
        <v>1.69</v>
      </c>
      <c r="I17" s="12">
        <v>0</v>
      </c>
    </row>
    <row r="18" spans="2:9" ht="15" customHeight="1" x14ac:dyDescent="0.2">
      <c r="B18" t="s">
        <v>74</v>
      </c>
      <c r="C18" s="12">
        <v>69</v>
      </c>
      <c r="D18" s="8">
        <v>6.46</v>
      </c>
      <c r="E18" s="12">
        <v>25</v>
      </c>
      <c r="F18" s="8">
        <v>6.05</v>
      </c>
      <c r="G18" s="12">
        <v>44</v>
      </c>
      <c r="H18" s="8">
        <v>6.78</v>
      </c>
      <c r="I18" s="12">
        <v>0</v>
      </c>
    </row>
    <row r="19" spans="2:9" ht="15" customHeight="1" x14ac:dyDescent="0.2">
      <c r="B19" t="s">
        <v>75</v>
      </c>
      <c r="C19" s="12">
        <v>49</v>
      </c>
      <c r="D19" s="8">
        <v>4.59</v>
      </c>
      <c r="E19" s="12">
        <v>13</v>
      </c>
      <c r="F19" s="8">
        <v>3.15</v>
      </c>
      <c r="G19" s="12">
        <v>36</v>
      </c>
      <c r="H19" s="8">
        <v>5.55</v>
      </c>
      <c r="I19" s="12">
        <v>0</v>
      </c>
    </row>
    <row r="20" spans="2:9" ht="15" customHeight="1" x14ac:dyDescent="0.2">
      <c r="B20" s="9" t="s">
        <v>248</v>
      </c>
      <c r="C20" s="12">
        <f>SUM(LTBL_12229[総数／事業所数])</f>
        <v>1068</v>
      </c>
      <c r="E20" s="12">
        <f>SUBTOTAL(109,LTBL_12229[個人／事業所数])</f>
        <v>413</v>
      </c>
      <c r="G20" s="12">
        <f>SUBTOTAL(109,LTBL_12229[法人／事業所数])</f>
        <v>649</v>
      </c>
      <c r="I20" s="12">
        <f>SUBTOTAL(109,LTBL_12229[法人以外の団体／事業所数])</f>
        <v>0</v>
      </c>
    </row>
    <row r="21" spans="2:9" ht="15" customHeight="1" x14ac:dyDescent="0.2">
      <c r="E21" s="11">
        <f>LTBL_12229[[#Totals],[個人／事業所数]]/LTBL_12229[[#Totals],[総数／事業所数]]</f>
        <v>0.38670411985018727</v>
      </c>
      <c r="G21" s="11">
        <f>LTBL_12229[[#Totals],[法人／事業所数]]/LTBL_12229[[#Totals],[総数／事業所数]]</f>
        <v>0.60767790262172283</v>
      </c>
      <c r="I21" s="11">
        <f>LTBL_12229[[#Totals],[法人以外の団体／事業所数]]/LTBL_12229[[#Totals],[総数／事業所数]]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113</v>
      </c>
      <c r="D24" s="8">
        <v>10.58</v>
      </c>
      <c r="E24" s="12">
        <v>99</v>
      </c>
      <c r="F24" s="8">
        <v>23.97</v>
      </c>
      <c r="G24" s="12">
        <v>14</v>
      </c>
      <c r="H24" s="8">
        <v>2.16</v>
      </c>
      <c r="I24" s="12">
        <v>0</v>
      </c>
    </row>
    <row r="25" spans="2:9" ht="15" customHeight="1" x14ac:dyDescent="0.2">
      <c r="B25" t="s">
        <v>97</v>
      </c>
      <c r="C25" s="12">
        <v>100</v>
      </c>
      <c r="D25" s="8">
        <v>9.36</v>
      </c>
      <c r="E25" s="12">
        <v>85</v>
      </c>
      <c r="F25" s="8">
        <v>20.58</v>
      </c>
      <c r="G25" s="12">
        <v>15</v>
      </c>
      <c r="H25" s="8">
        <v>2.31</v>
      </c>
      <c r="I25" s="12">
        <v>0</v>
      </c>
    </row>
    <row r="26" spans="2:9" ht="15" customHeight="1" x14ac:dyDescent="0.2">
      <c r="B26" t="s">
        <v>86</v>
      </c>
      <c r="C26" s="12">
        <v>89</v>
      </c>
      <c r="D26" s="8">
        <v>8.33</v>
      </c>
      <c r="E26" s="12">
        <v>6</v>
      </c>
      <c r="F26" s="8">
        <v>1.45</v>
      </c>
      <c r="G26" s="12">
        <v>83</v>
      </c>
      <c r="H26" s="8">
        <v>12.79</v>
      </c>
      <c r="I26" s="12">
        <v>0</v>
      </c>
    </row>
    <row r="27" spans="2:9" ht="15" customHeight="1" x14ac:dyDescent="0.2">
      <c r="B27" t="s">
        <v>85</v>
      </c>
      <c r="C27" s="12">
        <v>81</v>
      </c>
      <c r="D27" s="8">
        <v>7.58</v>
      </c>
      <c r="E27" s="12">
        <v>15</v>
      </c>
      <c r="F27" s="8">
        <v>3.63</v>
      </c>
      <c r="G27" s="12">
        <v>66</v>
      </c>
      <c r="H27" s="8">
        <v>10.17</v>
      </c>
      <c r="I27" s="12">
        <v>0</v>
      </c>
    </row>
    <row r="28" spans="2:9" ht="15" customHeight="1" x14ac:dyDescent="0.2">
      <c r="B28" t="s">
        <v>84</v>
      </c>
      <c r="C28" s="12">
        <v>80</v>
      </c>
      <c r="D28" s="8">
        <v>7.49</v>
      </c>
      <c r="E28" s="12">
        <v>15</v>
      </c>
      <c r="F28" s="8">
        <v>3.63</v>
      </c>
      <c r="G28" s="12">
        <v>65</v>
      </c>
      <c r="H28" s="8">
        <v>10.02</v>
      </c>
      <c r="I28" s="12">
        <v>0</v>
      </c>
    </row>
    <row r="29" spans="2:9" ht="15" customHeight="1" x14ac:dyDescent="0.2">
      <c r="B29" t="s">
        <v>94</v>
      </c>
      <c r="C29" s="12">
        <v>71</v>
      </c>
      <c r="D29" s="8">
        <v>6.65</v>
      </c>
      <c r="E29" s="12">
        <v>28</v>
      </c>
      <c r="F29" s="8">
        <v>6.78</v>
      </c>
      <c r="G29" s="12">
        <v>42</v>
      </c>
      <c r="H29" s="8">
        <v>6.47</v>
      </c>
      <c r="I29" s="12">
        <v>0</v>
      </c>
    </row>
    <row r="30" spans="2:9" ht="15" customHeight="1" x14ac:dyDescent="0.2">
      <c r="B30" t="s">
        <v>92</v>
      </c>
      <c r="C30" s="12">
        <v>58</v>
      </c>
      <c r="D30" s="8">
        <v>5.43</v>
      </c>
      <c r="E30" s="12">
        <v>24</v>
      </c>
      <c r="F30" s="8">
        <v>5.81</v>
      </c>
      <c r="G30" s="12">
        <v>34</v>
      </c>
      <c r="H30" s="8">
        <v>5.24</v>
      </c>
      <c r="I30" s="12">
        <v>0</v>
      </c>
    </row>
    <row r="31" spans="2:9" ht="15" customHeight="1" x14ac:dyDescent="0.2">
      <c r="B31" t="s">
        <v>102</v>
      </c>
      <c r="C31" s="12">
        <v>42</v>
      </c>
      <c r="D31" s="8">
        <v>3.93</v>
      </c>
      <c r="E31" s="12">
        <v>0</v>
      </c>
      <c r="F31" s="8">
        <v>0</v>
      </c>
      <c r="G31" s="12">
        <v>42</v>
      </c>
      <c r="H31" s="8">
        <v>6.47</v>
      </c>
      <c r="I31" s="12">
        <v>0</v>
      </c>
    </row>
    <row r="32" spans="2:9" ht="15" customHeight="1" x14ac:dyDescent="0.2">
      <c r="B32" t="s">
        <v>91</v>
      </c>
      <c r="C32" s="12">
        <v>39</v>
      </c>
      <c r="D32" s="8">
        <v>3.65</v>
      </c>
      <c r="E32" s="12">
        <v>21</v>
      </c>
      <c r="F32" s="8">
        <v>5.08</v>
      </c>
      <c r="G32" s="12">
        <v>18</v>
      </c>
      <c r="H32" s="8">
        <v>2.77</v>
      </c>
      <c r="I32" s="12">
        <v>0</v>
      </c>
    </row>
    <row r="33" spans="2:9" ht="15" customHeight="1" x14ac:dyDescent="0.2">
      <c r="B33" t="s">
        <v>100</v>
      </c>
      <c r="C33" s="12">
        <v>30</v>
      </c>
      <c r="D33" s="8">
        <v>2.81</v>
      </c>
      <c r="E33" s="12">
        <v>15</v>
      </c>
      <c r="F33" s="8">
        <v>3.63</v>
      </c>
      <c r="G33" s="12">
        <v>11</v>
      </c>
      <c r="H33" s="8">
        <v>1.69</v>
      </c>
      <c r="I33" s="12">
        <v>0</v>
      </c>
    </row>
    <row r="34" spans="2:9" ht="15" customHeight="1" x14ac:dyDescent="0.2">
      <c r="B34" t="s">
        <v>90</v>
      </c>
      <c r="C34" s="12">
        <v>29</v>
      </c>
      <c r="D34" s="8">
        <v>2.72</v>
      </c>
      <c r="E34" s="12">
        <v>20</v>
      </c>
      <c r="F34" s="8">
        <v>4.84</v>
      </c>
      <c r="G34" s="12">
        <v>9</v>
      </c>
      <c r="H34" s="8">
        <v>1.39</v>
      </c>
      <c r="I34" s="12">
        <v>0</v>
      </c>
    </row>
    <row r="35" spans="2:9" ht="15" customHeight="1" x14ac:dyDescent="0.2">
      <c r="B35" t="s">
        <v>96</v>
      </c>
      <c r="C35" s="12">
        <v>27</v>
      </c>
      <c r="D35" s="8">
        <v>2.5299999999999998</v>
      </c>
      <c r="E35" s="12">
        <v>6</v>
      </c>
      <c r="F35" s="8">
        <v>1.45</v>
      </c>
      <c r="G35" s="12">
        <v>21</v>
      </c>
      <c r="H35" s="8">
        <v>3.24</v>
      </c>
      <c r="I35" s="12">
        <v>0</v>
      </c>
    </row>
    <row r="36" spans="2:9" ht="15" customHeight="1" x14ac:dyDescent="0.2">
      <c r="B36" t="s">
        <v>101</v>
      </c>
      <c r="C36" s="12">
        <v>27</v>
      </c>
      <c r="D36" s="8">
        <v>2.5299999999999998</v>
      </c>
      <c r="E36" s="12">
        <v>25</v>
      </c>
      <c r="F36" s="8">
        <v>6.05</v>
      </c>
      <c r="G36" s="12">
        <v>2</v>
      </c>
      <c r="H36" s="8">
        <v>0.31</v>
      </c>
      <c r="I36" s="12">
        <v>0</v>
      </c>
    </row>
    <row r="37" spans="2:9" ht="15" customHeight="1" x14ac:dyDescent="0.2">
      <c r="B37" t="s">
        <v>95</v>
      </c>
      <c r="C37" s="12">
        <v>23</v>
      </c>
      <c r="D37" s="8">
        <v>2.15</v>
      </c>
      <c r="E37" s="12">
        <v>13</v>
      </c>
      <c r="F37" s="8">
        <v>3.15</v>
      </c>
      <c r="G37" s="12">
        <v>10</v>
      </c>
      <c r="H37" s="8">
        <v>1.54</v>
      </c>
      <c r="I37" s="12">
        <v>0</v>
      </c>
    </row>
    <row r="38" spans="2:9" ht="15" customHeight="1" x14ac:dyDescent="0.2">
      <c r="B38" t="s">
        <v>103</v>
      </c>
      <c r="C38" s="12">
        <v>22</v>
      </c>
      <c r="D38" s="8">
        <v>2.06</v>
      </c>
      <c r="E38" s="12">
        <v>12</v>
      </c>
      <c r="F38" s="8">
        <v>2.91</v>
      </c>
      <c r="G38" s="12">
        <v>10</v>
      </c>
      <c r="H38" s="8">
        <v>1.54</v>
      </c>
      <c r="I38" s="12">
        <v>0</v>
      </c>
    </row>
    <row r="39" spans="2:9" ht="15" customHeight="1" x14ac:dyDescent="0.2">
      <c r="B39" t="s">
        <v>105</v>
      </c>
      <c r="C39" s="12">
        <v>16</v>
      </c>
      <c r="D39" s="8">
        <v>1.5</v>
      </c>
      <c r="E39" s="12">
        <v>1</v>
      </c>
      <c r="F39" s="8">
        <v>0.24</v>
      </c>
      <c r="G39" s="12">
        <v>15</v>
      </c>
      <c r="H39" s="8">
        <v>2.31</v>
      </c>
      <c r="I39" s="12">
        <v>0</v>
      </c>
    </row>
    <row r="40" spans="2:9" ht="15" customHeight="1" x14ac:dyDescent="0.2">
      <c r="B40" t="s">
        <v>93</v>
      </c>
      <c r="C40" s="12">
        <v>15</v>
      </c>
      <c r="D40" s="8">
        <v>1.4</v>
      </c>
      <c r="E40" s="12">
        <v>0</v>
      </c>
      <c r="F40" s="8">
        <v>0</v>
      </c>
      <c r="G40" s="12">
        <v>15</v>
      </c>
      <c r="H40" s="8">
        <v>2.31</v>
      </c>
      <c r="I40" s="12">
        <v>0</v>
      </c>
    </row>
    <row r="41" spans="2:9" ht="15" customHeight="1" x14ac:dyDescent="0.2">
      <c r="B41" t="s">
        <v>106</v>
      </c>
      <c r="C41" s="12">
        <v>12</v>
      </c>
      <c r="D41" s="8">
        <v>1.1200000000000001</v>
      </c>
      <c r="E41" s="12">
        <v>3</v>
      </c>
      <c r="F41" s="8">
        <v>0.73</v>
      </c>
      <c r="G41" s="12">
        <v>9</v>
      </c>
      <c r="H41" s="8">
        <v>1.39</v>
      </c>
      <c r="I41" s="12">
        <v>0</v>
      </c>
    </row>
    <row r="42" spans="2:9" ht="15" customHeight="1" x14ac:dyDescent="0.2">
      <c r="B42" t="s">
        <v>121</v>
      </c>
      <c r="C42" s="12">
        <v>11</v>
      </c>
      <c r="D42" s="8">
        <v>1.03</v>
      </c>
      <c r="E42" s="12">
        <v>0</v>
      </c>
      <c r="F42" s="8">
        <v>0</v>
      </c>
      <c r="G42" s="12">
        <v>11</v>
      </c>
      <c r="H42" s="8">
        <v>1.69</v>
      </c>
      <c r="I42" s="12">
        <v>0</v>
      </c>
    </row>
    <row r="43" spans="2:9" ht="15" customHeight="1" x14ac:dyDescent="0.2">
      <c r="B43" t="s">
        <v>87</v>
      </c>
      <c r="C43" s="12">
        <v>11</v>
      </c>
      <c r="D43" s="8">
        <v>1.03</v>
      </c>
      <c r="E43" s="12">
        <v>1</v>
      </c>
      <c r="F43" s="8">
        <v>0.24</v>
      </c>
      <c r="G43" s="12">
        <v>10</v>
      </c>
      <c r="H43" s="8">
        <v>1.54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55</v>
      </c>
      <c r="D47" s="8">
        <v>5.15</v>
      </c>
      <c r="E47" s="12">
        <v>51</v>
      </c>
      <c r="F47" s="8">
        <v>12.35</v>
      </c>
      <c r="G47" s="12">
        <v>4</v>
      </c>
      <c r="H47" s="8">
        <v>0.62</v>
      </c>
      <c r="I47" s="12">
        <v>0</v>
      </c>
    </row>
    <row r="48" spans="2:9" ht="15" customHeight="1" x14ac:dyDescent="0.2">
      <c r="B48" t="s">
        <v>158</v>
      </c>
      <c r="C48" s="12">
        <v>42</v>
      </c>
      <c r="D48" s="8">
        <v>3.93</v>
      </c>
      <c r="E48" s="12">
        <v>22</v>
      </c>
      <c r="F48" s="8">
        <v>5.33</v>
      </c>
      <c r="G48" s="12">
        <v>19</v>
      </c>
      <c r="H48" s="8">
        <v>2.93</v>
      </c>
      <c r="I48" s="12">
        <v>0</v>
      </c>
    </row>
    <row r="49" spans="2:9" ht="15" customHeight="1" x14ac:dyDescent="0.2">
      <c r="B49" t="s">
        <v>163</v>
      </c>
      <c r="C49" s="12">
        <v>39</v>
      </c>
      <c r="D49" s="8">
        <v>3.65</v>
      </c>
      <c r="E49" s="12">
        <v>34</v>
      </c>
      <c r="F49" s="8">
        <v>8.23</v>
      </c>
      <c r="G49" s="12">
        <v>5</v>
      </c>
      <c r="H49" s="8">
        <v>0.77</v>
      </c>
      <c r="I49" s="12">
        <v>0</v>
      </c>
    </row>
    <row r="50" spans="2:9" ht="15" customHeight="1" x14ac:dyDescent="0.2">
      <c r="B50" t="s">
        <v>208</v>
      </c>
      <c r="C50" s="12">
        <v>37</v>
      </c>
      <c r="D50" s="8">
        <v>3.46</v>
      </c>
      <c r="E50" s="12">
        <v>0</v>
      </c>
      <c r="F50" s="8">
        <v>0</v>
      </c>
      <c r="G50" s="12">
        <v>37</v>
      </c>
      <c r="H50" s="8">
        <v>5.7</v>
      </c>
      <c r="I50" s="12">
        <v>0</v>
      </c>
    </row>
    <row r="51" spans="2:9" ht="15" customHeight="1" x14ac:dyDescent="0.2">
      <c r="B51" t="s">
        <v>162</v>
      </c>
      <c r="C51" s="12">
        <v>35</v>
      </c>
      <c r="D51" s="8">
        <v>3.28</v>
      </c>
      <c r="E51" s="12">
        <v>32</v>
      </c>
      <c r="F51" s="8">
        <v>7.75</v>
      </c>
      <c r="G51" s="12">
        <v>3</v>
      </c>
      <c r="H51" s="8">
        <v>0.46</v>
      </c>
      <c r="I51" s="12">
        <v>0</v>
      </c>
    </row>
    <row r="52" spans="2:9" ht="15" customHeight="1" x14ac:dyDescent="0.2">
      <c r="B52" t="s">
        <v>153</v>
      </c>
      <c r="C52" s="12">
        <v>32</v>
      </c>
      <c r="D52" s="8">
        <v>3</v>
      </c>
      <c r="E52" s="12">
        <v>2</v>
      </c>
      <c r="F52" s="8">
        <v>0.48</v>
      </c>
      <c r="G52" s="12">
        <v>30</v>
      </c>
      <c r="H52" s="8">
        <v>4.62</v>
      </c>
      <c r="I52" s="12">
        <v>0</v>
      </c>
    </row>
    <row r="53" spans="2:9" ht="15" customHeight="1" x14ac:dyDescent="0.2">
      <c r="B53" t="s">
        <v>148</v>
      </c>
      <c r="C53" s="12">
        <v>30</v>
      </c>
      <c r="D53" s="8">
        <v>2.81</v>
      </c>
      <c r="E53" s="12">
        <v>3</v>
      </c>
      <c r="F53" s="8">
        <v>0.73</v>
      </c>
      <c r="G53" s="12">
        <v>27</v>
      </c>
      <c r="H53" s="8">
        <v>4.16</v>
      </c>
      <c r="I53" s="12">
        <v>0</v>
      </c>
    </row>
    <row r="54" spans="2:9" ht="15" customHeight="1" x14ac:dyDescent="0.2">
      <c r="B54" t="s">
        <v>152</v>
      </c>
      <c r="C54" s="12">
        <v>30</v>
      </c>
      <c r="D54" s="8">
        <v>2.81</v>
      </c>
      <c r="E54" s="12">
        <v>4</v>
      </c>
      <c r="F54" s="8">
        <v>0.97</v>
      </c>
      <c r="G54" s="12">
        <v>26</v>
      </c>
      <c r="H54" s="8">
        <v>4.01</v>
      </c>
      <c r="I54" s="12">
        <v>0</v>
      </c>
    </row>
    <row r="55" spans="2:9" ht="15" customHeight="1" x14ac:dyDescent="0.2">
      <c r="B55" t="s">
        <v>161</v>
      </c>
      <c r="C55" s="12">
        <v>27</v>
      </c>
      <c r="D55" s="8">
        <v>2.5299999999999998</v>
      </c>
      <c r="E55" s="12">
        <v>20</v>
      </c>
      <c r="F55" s="8">
        <v>4.84</v>
      </c>
      <c r="G55" s="12">
        <v>7</v>
      </c>
      <c r="H55" s="8">
        <v>1.08</v>
      </c>
      <c r="I55" s="12">
        <v>0</v>
      </c>
    </row>
    <row r="56" spans="2:9" ht="15" customHeight="1" x14ac:dyDescent="0.2">
      <c r="B56" t="s">
        <v>155</v>
      </c>
      <c r="C56" s="12">
        <v>26</v>
      </c>
      <c r="D56" s="8">
        <v>2.4300000000000002</v>
      </c>
      <c r="E56" s="12">
        <v>13</v>
      </c>
      <c r="F56" s="8">
        <v>3.15</v>
      </c>
      <c r="G56" s="12">
        <v>13</v>
      </c>
      <c r="H56" s="8">
        <v>2</v>
      </c>
      <c r="I56" s="12">
        <v>0</v>
      </c>
    </row>
    <row r="57" spans="2:9" ht="15" customHeight="1" x14ac:dyDescent="0.2">
      <c r="B57" t="s">
        <v>157</v>
      </c>
      <c r="C57" s="12">
        <v>23</v>
      </c>
      <c r="D57" s="8">
        <v>2.15</v>
      </c>
      <c r="E57" s="12">
        <v>4</v>
      </c>
      <c r="F57" s="8">
        <v>0.97</v>
      </c>
      <c r="G57" s="12">
        <v>19</v>
      </c>
      <c r="H57" s="8">
        <v>2.93</v>
      </c>
      <c r="I57" s="12">
        <v>0</v>
      </c>
    </row>
    <row r="58" spans="2:9" ht="15" customHeight="1" x14ac:dyDescent="0.2">
      <c r="B58" t="s">
        <v>175</v>
      </c>
      <c r="C58" s="12">
        <v>22</v>
      </c>
      <c r="D58" s="8">
        <v>2.06</v>
      </c>
      <c r="E58" s="12">
        <v>3</v>
      </c>
      <c r="F58" s="8">
        <v>0.73</v>
      </c>
      <c r="G58" s="12">
        <v>19</v>
      </c>
      <c r="H58" s="8">
        <v>2.93</v>
      </c>
      <c r="I58" s="12">
        <v>0</v>
      </c>
    </row>
    <row r="59" spans="2:9" ht="15" customHeight="1" x14ac:dyDescent="0.2">
      <c r="B59" t="s">
        <v>167</v>
      </c>
      <c r="C59" s="12">
        <v>22</v>
      </c>
      <c r="D59" s="8">
        <v>2.06</v>
      </c>
      <c r="E59" s="12">
        <v>12</v>
      </c>
      <c r="F59" s="8">
        <v>2.91</v>
      </c>
      <c r="G59" s="12">
        <v>10</v>
      </c>
      <c r="H59" s="8">
        <v>1.54</v>
      </c>
      <c r="I59" s="12">
        <v>0</v>
      </c>
    </row>
    <row r="60" spans="2:9" ht="15" customHeight="1" x14ac:dyDescent="0.2">
      <c r="B60" t="s">
        <v>150</v>
      </c>
      <c r="C60" s="12">
        <v>18</v>
      </c>
      <c r="D60" s="8">
        <v>1.69</v>
      </c>
      <c r="E60" s="12">
        <v>9</v>
      </c>
      <c r="F60" s="8">
        <v>2.1800000000000002</v>
      </c>
      <c r="G60" s="12">
        <v>9</v>
      </c>
      <c r="H60" s="8">
        <v>1.39</v>
      </c>
      <c r="I60" s="12">
        <v>0</v>
      </c>
    </row>
    <row r="61" spans="2:9" ht="15" customHeight="1" x14ac:dyDescent="0.2">
      <c r="B61" t="s">
        <v>166</v>
      </c>
      <c r="C61" s="12">
        <v>18</v>
      </c>
      <c r="D61" s="8">
        <v>1.69</v>
      </c>
      <c r="E61" s="12">
        <v>18</v>
      </c>
      <c r="F61" s="8">
        <v>4.3600000000000003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149</v>
      </c>
      <c r="C62" s="12">
        <v>17</v>
      </c>
      <c r="D62" s="8">
        <v>1.59</v>
      </c>
      <c r="E62" s="12">
        <v>2</v>
      </c>
      <c r="F62" s="8">
        <v>0.48</v>
      </c>
      <c r="G62" s="12">
        <v>15</v>
      </c>
      <c r="H62" s="8">
        <v>2.31</v>
      </c>
      <c r="I62" s="12">
        <v>0</v>
      </c>
    </row>
    <row r="63" spans="2:9" ht="15" customHeight="1" x14ac:dyDescent="0.2">
      <c r="B63" t="s">
        <v>156</v>
      </c>
      <c r="C63" s="12">
        <v>17</v>
      </c>
      <c r="D63" s="8">
        <v>1.59</v>
      </c>
      <c r="E63" s="12">
        <v>7</v>
      </c>
      <c r="F63" s="8">
        <v>1.69</v>
      </c>
      <c r="G63" s="12">
        <v>10</v>
      </c>
      <c r="H63" s="8">
        <v>1.54</v>
      </c>
      <c r="I63" s="12">
        <v>0</v>
      </c>
    </row>
    <row r="64" spans="2:9" ht="15" customHeight="1" x14ac:dyDescent="0.2">
      <c r="B64" t="s">
        <v>168</v>
      </c>
      <c r="C64" s="12">
        <v>16</v>
      </c>
      <c r="D64" s="8">
        <v>1.5</v>
      </c>
      <c r="E64" s="12">
        <v>4</v>
      </c>
      <c r="F64" s="8">
        <v>0.97</v>
      </c>
      <c r="G64" s="12">
        <v>12</v>
      </c>
      <c r="H64" s="8">
        <v>1.85</v>
      </c>
      <c r="I64" s="12">
        <v>0</v>
      </c>
    </row>
    <row r="65" spans="2:9" ht="15" customHeight="1" x14ac:dyDescent="0.2">
      <c r="B65" t="s">
        <v>201</v>
      </c>
      <c r="C65" s="12">
        <v>14</v>
      </c>
      <c r="D65" s="8">
        <v>1.31</v>
      </c>
      <c r="E65" s="12">
        <v>0</v>
      </c>
      <c r="F65" s="8">
        <v>0</v>
      </c>
      <c r="G65" s="12">
        <v>14</v>
      </c>
      <c r="H65" s="8">
        <v>2.16</v>
      </c>
      <c r="I65" s="12">
        <v>0</v>
      </c>
    </row>
    <row r="66" spans="2:9" ht="15" customHeight="1" x14ac:dyDescent="0.2">
      <c r="B66" t="s">
        <v>160</v>
      </c>
      <c r="C66" s="12">
        <v>14</v>
      </c>
      <c r="D66" s="8">
        <v>1.31</v>
      </c>
      <c r="E66" s="12">
        <v>2</v>
      </c>
      <c r="F66" s="8">
        <v>0.48</v>
      </c>
      <c r="G66" s="12">
        <v>12</v>
      </c>
      <c r="H66" s="8">
        <v>1.85</v>
      </c>
      <c r="I66" s="12">
        <v>0</v>
      </c>
    </row>
    <row r="67" spans="2:9" ht="15" customHeight="1" x14ac:dyDescent="0.2">
      <c r="B67" t="s">
        <v>165</v>
      </c>
      <c r="C67" s="12">
        <v>14</v>
      </c>
      <c r="D67" s="8">
        <v>1.31</v>
      </c>
      <c r="E67" s="12">
        <v>8</v>
      </c>
      <c r="F67" s="8">
        <v>1.94</v>
      </c>
      <c r="G67" s="12">
        <v>6</v>
      </c>
      <c r="H67" s="8">
        <v>0.92</v>
      </c>
      <c r="I67" s="12">
        <v>0</v>
      </c>
    </row>
    <row r="69" spans="2:9" ht="15" customHeight="1" x14ac:dyDescent="0.2">
      <c r="B69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1F5B7-3383-49C7-8330-0D047A5FAD1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285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330</v>
      </c>
      <c r="D6" s="8">
        <v>22.88</v>
      </c>
      <c r="E6" s="12">
        <v>89</v>
      </c>
      <c r="F6" s="8">
        <v>14.08</v>
      </c>
      <c r="G6" s="12">
        <v>241</v>
      </c>
      <c r="H6" s="8">
        <v>29.94</v>
      </c>
      <c r="I6" s="12">
        <v>0</v>
      </c>
    </row>
    <row r="7" spans="2:9" ht="15" customHeight="1" x14ac:dyDescent="0.2">
      <c r="B7" t="s">
        <v>63</v>
      </c>
      <c r="C7" s="12">
        <v>171</v>
      </c>
      <c r="D7" s="8">
        <v>11.86</v>
      </c>
      <c r="E7" s="12">
        <v>35</v>
      </c>
      <c r="F7" s="8">
        <v>5.54</v>
      </c>
      <c r="G7" s="12">
        <v>136</v>
      </c>
      <c r="H7" s="8">
        <v>16.89</v>
      </c>
      <c r="I7" s="12">
        <v>0</v>
      </c>
    </row>
    <row r="8" spans="2:9" ht="15" customHeight="1" x14ac:dyDescent="0.2">
      <c r="B8" t="s">
        <v>64</v>
      </c>
      <c r="C8" s="12">
        <v>2</v>
      </c>
      <c r="D8" s="8">
        <v>0.14000000000000001</v>
      </c>
      <c r="E8" s="12">
        <v>0</v>
      </c>
      <c r="F8" s="8">
        <v>0</v>
      </c>
      <c r="G8" s="12">
        <v>2</v>
      </c>
      <c r="H8" s="8">
        <v>0.25</v>
      </c>
      <c r="I8" s="12">
        <v>0</v>
      </c>
    </row>
    <row r="9" spans="2:9" ht="15" customHeight="1" x14ac:dyDescent="0.2">
      <c r="B9" t="s">
        <v>65</v>
      </c>
      <c r="C9" s="12">
        <v>6</v>
      </c>
      <c r="D9" s="8">
        <v>0.42</v>
      </c>
      <c r="E9" s="12">
        <v>0</v>
      </c>
      <c r="F9" s="8">
        <v>0</v>
      </c>
      <c r="G9" s="12">
        <v>6</v>
      </c>
      <c r="H9" s="8">
        <v>0.75</v>
      </c>
      <c r="I9" s="12">
        <v>0</v>
      </c>
    </row>
    <row r="10" spans="2:9" ht="15" customHeight="1" x14ac:dyDescent="0.2">
      <c r="B10" t="s">
        <v>66</v>
      </c>
      <c r="C10" s="12">
        <v>23</v>
      </c>
      <c r="D10" s="8">
        <v>1.6</v>
      </c>
      <c r="E10" s="12">
        <v>4</v>
      </c>
      <c r="F10" s="8">
        <v>0.63</v>
      </c>
      <c r="G10" s="12">
        <v>19</v>
      </c>
      <c r="H10" s="8">
        <v>2.36</v>
      </c>
      <c r="I10" s="12">
        <v>0</v>
      </c>
    </row>
    <row r="11" spans="2:9" ht="15" customHeight="1" x14ac:dyDescent="0.2">
      <c r="B11" t="s">
        <v>67</v>
      </c>
      <c r="C11" s="12">
        <v>257</v>
      </c>
      <c r="D11" s="8">
        <v>17.82</v>
      </c>
      <c r="E11" s="12">
        <v>90</v>
      </c>
      <c r="F11" s="8">
        <v>14.24</v>
      </c>
      <c r="G11" s="12">
        <v>166</v>
      </c>
      <c r="H11" s="8">
        <v>20.62</v>
      </c>
      <c r="I11" s="12">
        <v>1</v>
      </c>
    </row>
    <row r="12" spans="2:9" ht="15" customHeight="1" x14ac:dyDescent="0.2">
      <c r="B12" t="s">
        <v>68</v>
      </c>
      <c r="C12" s="12">
        <v>9</v>
      </c>
      <c r="D12" s="8">
        <v>0.62</v>
      </c>
      <c r="E12" s="12">
        <v>1</v>
      </c>
      <c r="F12" s="8">
        <v>0.16</v>
      </c>
      <c r="G12" s="12">
        <v>8</v>
      </c>
      <c r="H12" s="8">
        <v>0.99</v>
      </c>
      <c r="I12" s="12">
        <v>0</v>
      </c>
    </row>
    <row r="13" spans="2:9" ht="15" customHeight="1" x14ac:dyDescent="0.2">
      <c r="B13" t="s">
        <v>69</v>
      </c>
      <c r="C13" s="12">
        <v>104</v>
      </c>
      <c r="D13" s="8">
        <v>7.21</v>
      </c>
      <c r="E13" s="12">
        <v>35</v>
      </c>
      <c r="F13" s="8">
        <v>5.54</v>
      </c>
      <c r="G13" s="12">
        <v>68</v>
      </c>
      <c r="H13" s="8">
        <v>8.4499999999999993</v>
      </c>
      <c r="I13" s="12">
        <v>0</v>
      </c>
    </row>
    <row r="14" spans="2:9" ht="15" customHeight="1" x14ac:dyDescent="0.2">
      <c r="B14" t="s">
        <v>70</v>
      </c>
      <c r="C14" s="12">
        <v>54</v>
      </c>
      <c r="D14" s="8">
        <v>3.74</v>
      </c>
      <c r="E14" s="12">
        <v>28</v>
      </c>
      <c r="F14" s="8">
        <v>4.43</v>
      </c>
      <c r="G14" s="12">
        <v>25</v>
      </c>
      <c r="H14" s="8">
        <v>3.11</v>
      </c>
      <c r="I14" s="12">
        <v>0</v>
      </c>
    </row>
    <row r="15" spans="2:9" ht="15" customHeight="1" x14ac:dyDescent="0.2">
      <c r="B15" t="s">
        <v>71</v>
      </c>
      <c r="C15" s="12">
        <v>126</v>
      </c>
      <c r="D15" s="8">
        <v>8.74</v>
      </c>
      <c r="E15" s="12">
        <v>104</v>
      </c>
      <c r="F15" s="8">
        <v>16.46</v>
      </c>
      <c r="G15" s="12">
        <v>22</v>
      </c>
      <c r="H15" s="8">
        <v>2.73</v>
      </c>
      <c r="I15" s="12">
        <v>0</v>
      </c>
    </row>
    <row r="16" spans="2:9" ht="15" customHeight="1" x14ac:dyDescent="0.2">
      <c r="B16" t="s">
        <v>72</v>
      </c>
      <c r="C16" s="12">
        <v>167</v>
      </c>
      <c r="D16" s="8">
        <v>11.58</v>
      </c>
      <c r="E16" s="12">
        <v>137</v>
      </c>
      <c r="F16" s="8">
        <v>21.68</v>
      </c>
      <c r="G16" s="12">
        <v>30</v>
      </c>
      <c r="H16" s="8">
        <v>3.73</v>
      </c>
      <c r="I16" s="12">
        <v>0</v>
      </c>
    </row>
    <row r="17" spans="2:9" ht="15" customHeight="1" x14ac:dyDescent="0.2">
      <c r="B17" t="s">
        <v>73</v>
      </c>
      <c r="C17" s="12">
        <v>45</v>
      </c>
      <c r="D17" s="8">
        <v>3.12</v>
      </c>
      <c r="E17" s="12">
        <v>29</v>
      </c>
      <c r="F17" s="8">
        <v>4.59</v>
      </c>
      <c r="G17" s="12">
        <v>14</v>
      </c>
      <c r="H17" s="8">
        <v>1.74</v>
      </c>
      <c r="I17" s="12">
        <v>0</v>
      </c>
    </row>
    <row r="18" spans="2:9" ht="15" customHeight="1" x14ac:dyDescent="0.2">
      <c r="B18" t="s">
        <v>74</v>
      </c>
      <c r="C18" s="12">
        <v>61</v>
      </c>
      <c r="D18" s="8">
        <v>4.2300000000000004</v>
      </c>
      <c r="E18" s="12">
        <v>34</v>
      </c>
      <c r="F18" s="8">
        <v>5.38</v>
      </c>
      <c r="G18" s="12">
        <v>27</v>
      </c>
      <c r="H18" s="8">
        <v>3.35</v>
      </c>
      <c r="I18" s="12">
        <v>0</v>
      </c>
    </row>
    <row r="19" spans="2:9" ht="15" customHeight="1" x14ac:dyDescent="0.2">
      <c r="B19" t="s">
        <v>75</v>
      </c>
      <c r="C19" s="12">
        <v>87</v>
      </c>
      <c r="D19" s="8">
        <v>6.03</v>
      </c>
      <c r="E19" s="12">
        <v>46</v>
      </c>
      <c r="F19" s="8">
        <v>7.28</v>
      </c>
      <c r="G19" s="12">
        <v>41</v>
      </c>
      <c r="H19" s="8">
        <v>5.09</v>
      </c>
      <c r="I19" s="12">
        <v>0</v>
      </c>
    </row>
    <row r="20" spans="2:9" ht="15" customHeight="1" x14ac:dyDescent="0.2">
      <c r="B20" s="9" t="s">
        <v>248</v>
      </c>
      <c r="C20" s="12">
        <f>SUM(LTBL_12230[総数／事業所数])</f>
        <v>1442</v>
      </c>
      <c r="E20" s="12">
        <f>SUBTOTAL(109,LTBL_12230[個人／事業所数])</f>
        <v>632</v>
      </c>
      <c r="G20" s="12">
        <f>SUBTOTAL(109,LTBL_12230[法人／事業所数])</f>
        <v>805</v>
      </c>
      <c r="I20" s="12">
        <f>SUBTOTAL(109,LTBL_12230[法人以外の団体／事業所数])</f>
        <v>1</v>
      </c>
    </row>
    <row r="21" spans="2:9" ht="15" customHeight="1" x14ac:dyDescent="0.2">
      <c r="E21" s="11">
        <f>LTBL_12230[[#Totals],[個人／事業所数]]/LTBL_12230[[#Totals],[総数／事業所数]]</f>
        <v>0.43828016643550627</v>
      </c>
      <c r="G21" s="11">
        <f>LTBL_12230[[#Totals],[法人／事業所数]]/LTBL_12230[[#Totals],[総数／事業所数]]</f>
        <v>0.55825242718446599</v>
      </c>
      <c r="I21" s="11">
        <f>LTBL_12230[[#Totals],[法人以外の団体／事業所数]]/LTBL_12230[[#Totals],[総数／事業所数]]</f>
        <v>6.9348127600554787E-4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143</v>
      </c>
      <c r="D24" s="8">
        <v>9.92</v>
      </c>
      <c r="E24" s="12">
        <v>122</v>
      </c>
      <c r="F24" s="8">
        <v>19.3</v>
      </c>
      <c r="G24" s="12">
        <v>21</v>
      </c>
      <c r="H24" s="8">
        <v>2.61</v>
      </c>
      <c r="I24" s="12">
        <v>0</v>
      </c>
    </row>
    <row r="25" spans="2:9" ht="15" customHeight="1" x14ac:dyDescent="0.2">
      <c r="B25" t="s">
        <v>85</v>
      </c>
      <c r="C25" s="12">
        <v>124</v>
      </c>
      <c r="D25" s="8">
        <v>8.6</v>
      </c>
      <c r="E25" s="12">
        <v>48</v>
      </c>
      <c r="F25" s="8">
        <v>7.59</v>
      </c>
      <c r="G25" s="12">
        <v>76</v>
      </c>
      <c r="H25" s="8">
        <v>9.44</v>
      </c>
      <c r="I25" s="12">
        <v>0</v>
      </c>
    </row>
    <row r="26" spans="2:9" ht="15" customHeight="1" x14ac:dyDescent="0.2">
      <c r="B26" t="s">
        <v>84</v>
      </c>
      <c r="C26" s="12">
        <v>118</v>
      </c>
      <c r="D26" s="8">
        <v>8.18</v>
      </c>
      <c r="E26" s="12">
        <v>31</v>
      </c>
      <c r="F26" s="8">
        <v>4.91</v>
      </c>
      <c r="G26" s="12">
        <v>87</v>
      </c>
      <c r="H26" s="8">
        <v>10.81</v>
      </c>
      <c r="I26" s="12">
        <v>0</v>
      </c>
    </row>
    <row r="27" spans="2:9" ht="15" customHeight="1" x14ac:dyDescent="0.2">
      <c r="B27" t="s">
        <v>97</v>
      </c>
      <c r="C27" s="12">
        <v>116</v>
      </c>
      <c r="D27" s="8">
        <v>8.0399999999999991</v>
      </c>
      <c r="E27" s="12">
        <v>99</v>
      </c>
      <c r="F27" s="8">
        <v>15.66</v>
      </c>
      <c r="G27" s="12">
        <v>17</v>
      </c>
      <c r="H27" s="8">
        <v>2.11</v>
      </c>
      <c r="I27" s="12">
        <v>0</v>
      </c>
    </row>
    <row r="28" spans="2:9" ht="15" customHeight="1" x14ac:dyDescent="0.2">
      <c r="B28" t="s">
        <v>86</v>
      </c>
      <c r="C28" s="12">
        <v>88</v>
      </c>
      <c r="D28" s="8">
        <v>6.1</v>
      </c>
      <c r="E28" s="12">
        <v>10</v>
      </c>
      <c r="F28" s="8">
        <v>1.58</v>
      </c>
      <c r="G28" s="12">
        <v>78</v>
      </c>
      <c r="H28" s="8">
        <v>9.69</v>
      </c>
      <c r="I28" s="12">
        <v>0</v>
      </c>
    </row>
    <row r="29" spans="2:9" ht="15" customHeight="1" x14ac:dyDescent="0.2">
      <c r="B29" t="s">
        <v>94</v>
      </c>
      <c r="C29" s="12">
        <v>64</v>
      </c>
      <c r="D29" s="8">
        <v>4.4400000000000004</v>
      </c>
      <c r="E29" s="12">
        <v>31</v>
      </c>
      <c r="F29" s="8">
        <v>4.91</v>
      </c>
      <c r="G29" s="12">
        <v>32</v>
      </c>
      <c r="H29" s="8">
        <v>3.98</v>
      </c>
      <c r="I29" s="12">
        <v>0</v>
      </c>
    </row>
    <row r="30" spans="2:9" ht="15" customHeight="1" x14ac:dyDescent="0.2">
      <c r="B30" t="s">
        <v>92</v>
      </c>
      <c r="C30" s="12">
        <v>62</v>
      </c>
      <c r="D30" s="8">
        <v>4.3</v>
      </c>
      <c r="E30" s="12">
        <v>30</v>
      </c>
      <c r="F30" s="8">
        <v>4.75</v>
      </c>
      <c r="G30" s="12">
        <v>32</v>
      </c>
      <c r="H30" s="8">
        <v>3.98</v>
      </c>
      <c r="I30" s="12">
        <v>0</v>
      </c>
    </row>
    <row r="31" spans="2:9" ht="15" customHeight="1" x14ac:dyDescent="0.2">
      <c r="B31" t="s">
        <v>103</v>
      </c>
      <c r="C31" s="12">
        <v>56</v>
      </c>
      <c r="D31" s="8">
        <v>3.88</v>
      </c>
      <c r="E31" s="12">
        <v>38</v>
      </c>
      <c r="F31" s="8">
        <v>6.01</v>
      </c>
      <c r="G31" s="12">
        <v>18</v>
      </c>
      <c r="H31" s="8">
        <v>2.2400000000000002</v>
      </c>
      <c r="I31" s="12">
        <v>0</v>
      </c>
    </row>
    <row r="32" spans="2:9" ht="15" customHeight="1" x14ac:dyDescent="0.2">
      <c r="B32" t="s">
        <v>91</v>
      </c>
      <c r="C32" s="12">
        <v>46</v>
      </c>
      <c r="D32" s="8">
        <v>3.19</v>
      </c>
      <c r="E32" s="12">
        <v>13</v>
      </c>
      <c r="F32" s="8">
        <v>2.06</v>
      </c>
      <c r="G32" s="12">
        <v>33</v>
      </c>
      <c r="H32" s="8">
        <v>4.0999999999999996</v>
      </c>
      <c r="I32" s="12">
        <v>0</v>
      </c>
    </row>
    <row r="33" spans="2:9" ht="15" customHeight="1" x14ac:dyDescent="0.2">
      <c r="B33" t="s">
        <v>100</v>
      </c>
      <c r="C33" s="12">
        <v>45</v>
      </c>
      <c r="D33" s="8">
        <v>3.12</v>
      </c>
      <c r="E33" s="12">
        <v>29</v>
      </c>
      <c r="F33" s="8">
        <v>4.59</v>
      </c>
      <c r="G33" s="12">
        <v>14</v>
      </c>
      <c r="H33" s="8">
        <v>1.74</v>
      </c>
      <c r="I33" s="12">
        <v>0</v>
      </c>
    </row>
    <row r="34" spans="2:9" ht="15" customHeight="1" x14ac:dyDescent="0.2">
      <c r="B34" t="s">
        <v>106</v>
      </c>
      <c r="C34" s="12">
        <v>40</v>
      </c>
      <c r="D34" s="8">
        <v>2.77</v>
      </c>
      <c r="E34" s="12">
        <v>7</v>
      </c>
      <c r="F34" s="8">
        <v>1.1100000000000001</v>
      </c>
      <c r="G34" s="12">
        <v>33</v>
      </c>
      <c r="H34" s="8">
        <v>4.0999999999999996</v>
      </c>
      <c r="I34" s="12">
        <v>0</v>
      </c>
    </row>
    <row r="35" spans="2:9" ht="15" customHeight="1" x14ac:dyDescent="0.2">
      <c r="B35" t="s">
        <v>90</v>
      </c>
      <c r="C35" s="12">
        <v>40</v>
      </c>
      <c r="D35" s="8">
        <v>2.77</v>
      </c>
      <c r="E35" s="12">
        <v>22</v>
      </c>
      <c r="F35" s="8">
        <v>3.48</v>
      </c>
      <c r="G35" s="12">
        <v>17</v>
      </c>
      <c r="H35" s="8">
        <v>2.11</v>
      </c>
      <c r="I35" s="12">
        <v>1</v>
      </c>
    </row>
    <row r="36" spans="2:9" ht="15" customHeight="1" x14ac:dyDescent="0.2">
      <c r="B36" t="s">
        <v>101</v>
      </c>
      <c r="C36" s="12">
        <v>36</v>
      </c>
      <c r="D36" s="8">
        <v>2.5</v>
      </c>
      <c r="E36" s="12">
        <v>34</v>
      </c>
      <c r="F36" s="8">
        <v>5.38</v>
      </c>
      <c r="G36" s="12">
        <v>2</v>
      </c>
      <c r="H36" s="8">
        <v>0.25</v>
      </c>
      <c r="I36" s="12">
        <v>0</v>
      </c>
    </row>
    <row r="37" spans="2:9" ht="15" customHeight="1" x14ac:dyDescent="0.2">
      <c r="B37" t="s">
        <v>96</v>
      </c>
      <c r="C37" s="12">
        <v>31</v>
      </c>
      <c r="D37" s="8">
        <v>2.15</v>
      </c>
      <c r="E37" s="12">
        <v>12</v>
      </c>
      <c r="F37" s="8">
        <v>1.9</v>
      </c>
      <c r="G37" s="12">
        <v>19</v>
      </c>
      <c r="H37" s="8">
        <v>2.36</v>
      </c>
      <c r="I37" s="12">
        <v>0</v>
      </c>
    </row>
    <row r="38" spans="2:9" ht="15" customHeight="1" x14ac:dyDescent="0.2">
      <c r="B38" t="s">
        <v>93</v>
      </c>
      <c r="C38" s="12">
        <v>28</v>
      </c>
      <c r="D38" s="8">
        <v>1.94</v>
      </c>
      <c r="E38" s="12">
        <v>2</v>
      </c>
      <c r="F38" s="8">
        <v>0.32</v>
      </c>
      <c r="G38" s="12">
        <v>26</v>
      </c>
      <c r="H38" s="8">
        <v>3.23</v>
      </c>
      <c r="I38" s="12">
        <v>0</v>
      </c>
    </row>
    <row r="39" spans="2:9" ht="15" customHeight="1" x14ac:dyDescent="0.2">
      <c r="B39" t="s">
        <v>117</v>
      </c>
      <c r="C39" s="12">
        <v>26</v>
      </c>
      <c r="D39" s="8">
        <v>1.8</v>
      </c>
      <c r="E39" s="12">
        <v>4</v>
      </c>
      <c r="F39" s="8">
        <v>0.63</v>
      </c>
      <c r="G39" s="12">
        <v>22</v>
      </c>
      <c r="H39" s="8">
        <v>2.73</v>
      </c>
      <c r="I39" s="12">
        <v>0</v>
      </c>
    </row>
    <row r="40" spans="2:9" ht="15" customHeight="1" x14ac:dyDescent="0.2">
      <c r="B40" t="s">
        <v>102</v>
      </c>
      <c r="C40" s="12">
        <v>25</v>
      </c>
      <c r="D40" s="8">
        <v>1.73</v>
      </c>
      <c r="E40" s="12">
        <v>0</v>
      </c>
      <c r="F40" s="8">
        <v>0</v>
      </c>
      <c r="G40" s="12">
        <v>25</v>
      </c>
      <c r="H40" s="8">
        <v>3.11</v>
      </c>
      <c r="I40" s="12">
        <v>0</v>
      </c>
    </row>
    <row r="41" spans="2:9" ht="15" customHeight="1" x14ac:dyDescent="0.2">
      <c r="B41" t="s">
        <v>89</v>
      </c>
      <c r="C41" s="12">
        <v>23</v>
      </c>
      <c r="D41" s="8">
        <v>1.6</v>
      </c>
      <c r="E41" s="12">
        <v>11</v>
      </c>
      <c r="F41" s="8">
        <v>1.74</v>
      </c>
      <c r="G41" s="12">
        <v>12</v>
      </c>
      <c r="H41" s="8">
        <v>1.49</v>
      </c>
      <c r="I41" s="12">
        <v>0</v>
      </c>
    </row>
    <row r="42" spans="2:9" ht="15" customHeight="1" x14ac:dyDescent="0.2">
      <c r="B42" t="s">
        <v>104</v>
      </c>
      <c r="C42" s="12">
        <v>22</v>
      </c>
      <c r="D42" s="8">
        <v>1.53</v>
      </c>
      <c r="E42" s="12">
        <v>3</v>
      </c>
      <c r="F42" s="8">
        <v>0.47</v>
      </c>
      <c r="G42" s="12">
        <v>19</v>
      </c>
      <c r="H42" s="8">
        <v>2.36</v>
      </c>
      <c r="I42" s="12">
        <v>0</v>
      </c>
    </row>
    <row r="43" spans="2:9" ht="15" customHeight="1" x14ac:dyDescent="0.2">
      <c r="B43" t="s">
        <v>95</v>
      </c>
      <c r="C43" s="12">
        <v>21</v>
      </c>
      <c r="D43" s="8">
        <v>1.46</v>
      </c>
      <c r="E43" s="12">
        <v>16</v>
      </c>
      <c r="F43" s="8">
        <v>2.5299999999999998</v>
      </c>
      <c r="G43" s="12">
        <v>5</v>
      </c>
      <c r="H43" s="8">
        <v>0.62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73</v>
      </c>
      <c r="D47" s="8">
        <v>5.0599999999999996</v>
      </c>
      <c r="E47" s="12">
        <v>68</v>
      </c>
      <c r="F47" s="8">
        <v>10.76</v>
      </c>
      <c r="G47" s="12">
        <v>5</v>
      </c>
      <c r="H47" s="8">
        <v>0.62</v>
      </c>
      <c r="I47" s="12">
        <v>0</v>
      </c>
    </row>
    <row r="48" spans="2:9" ht="15" customHeight="1" x14ac:dyDescent="0.2">
      <c r="B48" t="s">
        <v>167</v>
      </c>
      <c r="C48" s="12">
        <v>56</v>
      </c>
      <c r="D48" s="8">
        <v>3.88</v>
      </c>
      <c r="E48" s="12">
        <v>38</v>
      </c>
      <c r="F48" s="8">
        <v>6.01</v>
      </c>
      <c r="G48" s="12">
        <v>18</v>
      </c>
      <c r="H48" s="8">
        <v>2.2400000000000002</v>
      </c>
      <c r="I48" s="12">
        <v>0</v>
      </c>
    </row>
    <row r="49" spans="2:9" ht="15" customHeight="1" x14ac:dyDescent="0.2">
      <c r="B49" t="s">
        <v>163</v>
      </c>
      <c r="C49" s="12">
        <v>46</v>
      </c>
      <c r="D49" s="8">
        <v>3.19</v>
      </c>
      <c r="E49" s="12">
        <v>42</v>
      </c>
      <c r="F49" s="8">
        <v>6.65</v>
      </c>
      <c r="G49" s="12">
        <v>4</v>
      </c>
      <c r="H49" s="8">
        <v>0.5</v>
      </c>
      <c r="I49" s="12">
        <v>0</v>
      </c>
    </row>
    <row r="50" spans="2:9" ht="15" customHeight="1" x14ac:dyDescent="0.2">
      <c r="B50" t="s">
        <v>152</v>
      </c>
      <c r="C50" s="12">
        <v>37</v>
      </c>
      <c r="D50" s="8">
        <v>2.57</v>
      </c>
      <c r="E50" s="12">
        <v>5</v>
      </c>
      <c r="F50" s="8">
        <v>0.79</v>
      </c>
      <c r="G50" s="12">
        <v>32</v>
      </c>
      <c r="H50" s="8">
        <v>3.98</v>
      </c>
      <c r="I50" s="12">
        <v>0</v>
      </c>
    </row>
    <row r="51" spans="2:9" ht="15" customHeight="1" x14ac:dyDescent="0.2">
      <c r="B51" t="s">
        <v>158</v>
      </c>
      <c r="C51" s="12">
        <v>37</v>
      </c>
      <c r="D51" s="8">
        <v>2.57</v>
      </c>
      <c r="E51" s="12">
        <v>28</v>
      </c>
      <c r="F51" s="8">
        <v>4.43</v>
      </c>
      <c r="G51" s="12">
        <v>8</v>
      </c>
      <c r="H51" s="8">
        <v>0.99</v>
      </c>
      <c r="I51" s="12">
        <v>0</v>
      </c>
    </row>
    <row r="52" spans="2:9" ht="15" customHeight="1" x14ac:dyDescent="0.2">
      <c r="B52" t="s">
        <v>161</v>
      </c>
      <c r="C52" s="12">
        <v>36</v>
      </c>
      <c r="D52" s="8">
        <v>2.5</v>
      </c>
      <c r="E52" s="12">
        <v>28</v>
      </c>
      <c r="F52" s="8">
        <v>4.43</v>
      </c>
      <c r="G52" s="12">
        <v>8</v>
      </c>
      <c r="H52" s="8">
        <v>0.99</v>
      </c>
      <c r="I52" s="12">
        <v>0</v>
      </c>
    </row>
    <row r="53" spans="2:9" ht="15" customHeight="1" x14ac:dyDescent="0.2">
      <c r="B53" t="s">
        <v>155</v>
      </c>
      <c r="C53" s="12">
        <v>35</v>
      </c>
      <c r="D53" s="8">
        <v>2.4300000000000002</v>
      </c>
      <c r="E53" s="12">
        <v>9</v>
      </c>
      <c r="F53" s="8">
        <v>1.42</v>
      </c>
      <c r="G53" s="12">
        <v>26</v>
      </c>
      <c r="H53" s="8">
        <v>3.23</v>
      </c>
      <c r="I53" s="12">
        <v>0</v>
      </c>
    </row>
    <row r="54" spans="2:9" ht="15" customHeight="1" x14ac:dyDescent="0.2">
      <c r="B54" t="s">
        <v>162</v>
      </c>
      <c r="C54" s="12">
        <v>35</v>
      </c>
      <c r="D54" s="8">
        <v>2.4300000000000002</v>
      </c>
      <c r="E54" s="12">
        <v>33</v>
      </c>
      <c r="F54" s="8">
        <v>5.22</v>
      </c>
      <c r="G54" s="12">
        <v>2</v>
      </c>
      <c r="H54" s="8">
        <v>0.25</v>
      </c>
      <c r="I54" s="12">
        <v>0</v>
      </c>
    </row>
    <row r="55" spans="2:9" ht="15" customHeight="1" x14ac:dyDescent="0.2">
      <c r="B55" t="s">
        <v>153</v>
      </c>
      <c r="C55" s="12">
        <v>33</v>
      </c>
      <c r="D55" s="8">
        <v>2.29</v>
      </c>
      <c r="E55" s="12">
        <v>5</v>
      </c>
      <c r="F55" s="8">
        <v>0.79</v>
      </c>
      <c r="G55" s="12">
        <v>28</v>
      </c>
      <c r="H55" s="8">
        <v>3.48</v>
      </c>
      <c r="I55" s="12">
        <v>0</v>
      </c>
    </row>
    <row r="56" spans="2:9" ht="15" customHeight="1" x14ac:dyDescent="0.2">
      <c r="B56" t="s">
        <v>150</v>
      </c>
      <c r="C56" s="12">
        <v>32</v>
      </c>
      <c r="D56" s="8">
        <v>2.2200000000000002</v>
      </c>
      <c r="E56" s="12">
        <v>12</v>
      </c>
      <c r="F56" s="8">
        <v>1.9</v>
      </c>
      <c r="G56" s="12">
        <v>20</v>
      </c>
      <c r="H56" s="8">
        <v>2.48</v>
      </c>
      <c r="I56" s="12">
        <v>0</v>
      </c>
    </row>
    <row r="57" spans="2:9" ht="15" customHeight="1" x14ac:dyDescent="0.2">
      <c r="B57" t="s">
        <v>174</v>
      </c>
      <c r="C57" s="12">
        <v>29</v>
      </c>
      <c r="D57" s="8">
        <v>2.0099999999999998</v>
      </c>
      <c r="E57" s="12">
        <v>11</v>
      </c>
      <c r="F57" s="8">
        <v>1.74</v>
      </c>
      <c r="G57" s="12">
        <v>18</v>
      </c>
      <c r="H57" s="8">
        <v>2.2400000000000002</v>
      </c>
      <c r="I57" s="12">
        <v>0</v>
      </c>
    </row>
    <row r="58" spans="2:9" ht="15" customHeight="1" x14ac:dyDescent="0.2">
      <c r="B58" t="s">
        <v>151</v>
      </c>
      <c r="C58" s="12">
        <v>28</v>
      </c>
      <c r="D58" s="8">
        <v>1.94</v>
      </c>
      <c r="E58" s="12">
        <v>7</v>
      </c>
      <c r="F58" s="8">
        <v>1.1100000000000001</v>
      </c>
      <c r="G58" s="12">
        <v>21</v>
      </c>
      <c r="H58" s="8">
        <v>2.61</v>
      </c>
      <c r="I58" s="12">
        <v>0</v>
      </c>
    </row>
    <row r="59" spans="2:9" ht="15" customHeight="1" x14ac:dyDescent="0.2">
      <c r="B59" t="s">
        <v>148</v>
      </c>
      <c r="C59" s="12">
        <v>27</v>
      </c>
      <c r="D59" s="8">
        <v>1.87</v>
      </c>
      <c r="E59" s="12">
        <v>9</v>
      </c>
      <c r="F59" s="8">
        <v>1.42</v>
      </c>
      <c r="G59" s="12">
        <v>18</v>
      </c>
      <c r="H59" s="8">
        <v>2.2400000000000002</v>
      </c>
      <c r="I59" s="12">
        <v>0</v>
      </c>
    </row>
    <row r="60" spans="2:9" ht="15" customHeight="1" x14ac:dyDescent="0.2">
      <c r="B60" t="s">
        <v>165</v>
      </c>
      <c r="C60" s="12">
        <v>27</v>
      </c>
      <c r="D60" s="8">
        <v>1.87</v>
      </c>
      <c r="E60" s="12">
        <v>19</v>
      </c>
      <c r="F60" s="8">
        <v>3.01</v>
      </c>
      <c r="G60" s="12">
        <v>8</v>
      </c>
      <c r="H60" s="8">
        <v>0.99</v>
      </c>
      <c r="I60" s="12">
        <v>0</v>
      </c>
    </row>
    <row r="61" spans="2:9" ht="15" customHeight="1" x14ac:dyDescent="0.2">
      <c r="B61" t="s">
        <v>203</v>
      </c>
      <c r="C61" s="12">
        <v>26</v>
      </c>
      <c r="D61" s="8">
        <v>1.8</v>
      </c>
      <c r="E61" s="12">
        <v>3</v>
      </c>
      <c r="F61" s="8">
        <v>0.47</v>
      </c>
      <c r="G61" s="12">
        <v>23</v>
      </c>
      <c r="H61" s="8">
        <v>2.86</v>
      </c>
      <c r="I61" s="12">
        <v>0</v>
      </c>
    </row>
    <row r="62" spans="2:9" ht="15" customHeight="1" x14ac:dyDescent="0.2">
      <c r="B62" t="s">
        <v>149</v>
      </c>
      <c r="C62" s="12">
        <v>21</v>
      </c>
      <c r="D62" s="8">
        <v>1.46</v>
      </c>
      <c r="E62" s="12">
        <v>3</v>
      </c>
      <c r="F62" s="8">
        <v>0.47</v>
      </c>
      <c r="G62" s="12">
        <v>18</v>
      </c>
      <c r="H62" s="8">
        <v>2.2400000000000002</v>
      </c>
      <c r="I62" s="12">
        <v>0</v>
      </c>
    </row>
    <row r="63" spans="2:9" ht="15" customHeight="1" x14ac:dyDescent="0.2">
      <c r="B63" t="s">
        <v>176</v>
      </c>
      <c r="C63" s="12">
        <v>21</v>
      </c>
      <c r="D63" s="8">
        <v>1.46</v>
      </c>
      <c r="E63" s="12">
        <v>4</v>
      </c>
      <c r="F63" s="8">
        <v>0.63</v>
      </c>
      <c r="G63" s="12">
        <v>17</v>
      </c>
      <c r="H63" s="8">
        <v>2.11</v>
      </c>
      <c r="I63" s="12">
        <v>0</v>
      </c>
    </row>
    <row r="64" spans="2:9" ht="15" customHeight="1" x14ac:dyDescent="0.2">
      <c r="B64" t="s">
        <v>156</v>
      </c>
      <c r="C64" s="12">
        <v>20</v>
      </c>
      <c r="D64" s="8">
        <v>1.39</v>
      </c>
      <c r="E64" s="12">
        <v>15</v>
      </c>
      <c r="F64" s="8">
        <v>2.37</v>
      </c>
      <c r="G64" s="12">
        <v>5</v>
      </c>
      <c r="H64" s="8">
        <v>0.62</v>
      </c>
      <c r="I64" s="12">
        <v>0</v>
      </c>
    </row>
    <row r="65" spans="2:9" ht="15" customHeight="1" x14ac:dyDescent="0.2">
      <c r="B65" t="s">
        <v>166</v>
      </c>
      <c r="C65" s="12">
        <v>19</v>
      </c>
      <c r="D65" s="8">
        <v>1.32</v>
      </c>
      <c r="E65" s="12">
        <v>18</v>
      </c>
      <c r="F65" s="8">
        <v>2.85</v>
      </c>
      <c r="G65" s="12">
        <v>1</v>
      </c>
      <c r="H65" s="8">
        <v>0.12</v>
      </c>
      <c r="I65" s="12">
        <v>0</v>
      </c>
    </row>
    <row r="66" spans="2:9" ht="15" customHeight="1" x14ac:dyDescent="0.2">
      <c r="B66" t="s">
        <v>157</v>
      </c>
      <c r="C66" s="12">
        <v>18</v>
      </c>
      <c r="D66" s="8">
        <v>1.25</v>
      </c>
      <c r="E66" s="12">
        <v>3</v>
      </c>
      <c r="F66" s="8">
        <v>0.47</v>
      </c>
      <c r="G66" s="12">
        <v>15</v>
      </c>
      <c r="H66" s="8">
        <v>1.86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6EB74-8C24-416D-A96E-E605ED7B50F7}">
  <sheetPr>
    <pageSetUpPr fitToPage="1"/>
  </sheetPr>
  <dimension ref="A1:I1462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146</v>
      </c>
      <c r="B1" s="3" t="s">
        <v>245</v>
      </c>
      <c r="C1" s="7" t="s">
        <v>77</v>
      </c>
      <c r="D1" s="7" t="s">
        <v>78</v>
      </c>
      <c r="E1" s="7" t="s">
        <v>79</v>
      </c>
      <c r="F1" s="7" t="s">
        <v>80</v>
      </c>
      <c r="G1" s="7" t="s">
        <v>81</v>
      </c>
      <c r="H1" s="7" t="s">
        <v>82</v>
      </c>
      <c r="I1" s="7" t="s">
        <v>83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164</v>
      </c>
      <c r="C3" s="4">
        <v>5199</v>
      </c>
      <c r="D3" s="8">
        <v>5.17</v>
      </c>
      <c r="E3" s="4">
        <v>4414</v>
      </c>
      <c r="F3" s="8">
        <v>10.38</v>
      </c>
      <c r="G3" s="4">
        <v>784</v>
      </c>
      <c r="H3" s="8">
        <v>1.37</v>
      </c>
      <c r="I3" s="4">
        <v>1</v>
      </c>
    </row>
    <row r="4" spans="1:9" x14ac:dyDescent="0.2">
      <c r="A4" s="2">
        <v>2</v>
      </c>
      <c r="B4" s="1" t="s">
        <v>158</v>
      </c>
      <c r="C4" s="4">
        <v>4397</v>
      </c>
      <c r="D4" s="8">
        <v>4.37</v>
      </c>
      <c r="E4" s="4">
        <v>1754</v>
      </c>
      <c r="F4" s="8">
        <v>4.12</v>
      </c>
      <c r="G4" s="4">
        <v>2632</v>
      </c>
      <c r="H4" s="8">
        <v>4.58</v>
      </c>
      <c r="I4" s="4">
        <v>2</v>
      </c>
    </row>
    <row r="5" spans="1:9" x14ac:dyDescent="0.2">
      <c r="A5" s="2">
        <v>3</v>
      </c>
      <c r="B5" s="1" t="s">
        <v>163</v>
      </c>
      <c r="C5" s="4">
        <v>3609</v>
      </c>
      <c r="D5" s="8">
        <v>3.59</v>
      </c>
      <c r="E5" s="4">
        <v>3310</v>
      </c>
      <c r="F5" s="8">
        <v>7.78</v>
      </c>
      <c r="G5" s="4">
        <v>298</v>
      </c>
      <c r="H5" s="8">
        <v>0.52</v>
      </c>
      <c r="I5" s="4">
        <v>1</v>
      </c>
    </row>
    <row r="6" spans="1:9" x14ac:dyDescent="0.2">
      <c r="A6" s="2">
        <v>4</v>
      </c>
      <c r="B6" s="1" t="s">
        <v>161</v>
      </c>
      <c r="C6" s="4">
        <v>2912</v>
      </c>
      <c r="D6" s="8">
        <v>2.9</v>
      </c>
      <c r="E6" s="4">
        <v>2208</v>
      </c>
      <c r="F6" s="8">
        <v>5.19</v>
      </c>
      <c r="G6" s="4">
        <v>704</v>
      </c>
      <c r="H6" s="8">
        <v>1.23</v>
      </c>
      <c r="I6" s="4">
        <v>0</v>
      </c>
    </row>
    <row r="7" spans="1:9" x14ac:dyDescent="0.2">
      <c r="A7" s="2">
        <v>5</v>
      </c>
      <c r="B7" s="1" t="s">
        <v>162</v>
      </c>
      <c r="C7" s="4">
        <v>2825</v>
      </c>
      <c r="D7" s="8">
        <v>2.81</v>
      </c>
      <c r="E7" s="4">
        <v>2556</v>
      </c>
      <c r="F7" s="8">
        <v>6.01</v>
      </c>
      <c r="G7" s="4">
        <v>269</v>
      </c>
      <c r="H7" s="8">
        <v>0.47</v>
      </c>
      <c r="I7" s="4">
        <v>0</v>
      </c>
    </row>
    <row r="8" spans="1:9" x14ac:dyDescent="0.2">
      <c r="A8" s="2">
        <v>6</v>
      </c>
      <c r="B8" s="1" t="s">
        <v>166</v>
      </c>
      <c r="C8" s="4">
        <v>2587</v>
      </c>
      <c r="D8" s="8">
        <v>2.57</v>
      </c>
      <c r="E8" s="4">
        <v>2144</v>
      </c>
      <c r="F8" s="8">
        <v>5.04</v>
      </c>
      <c r="G8" s="4">
        <v>443</v>
      </c>
      <c r="H8" s="8">
        <v>0.77</v>
      </c>
      <c r="I8" s="4">
        <v>0</v>
      </c>
    </row>
    <row r="9" spans="1:9" x14ac:dyDescent="0.2">
      <c r="A9" s="2">
        <v>7</v>
      </c>
      <c r="B9" s="1" t="s">
        <v>165</v>
      </c>
      <c r="C9" s="4">
        <v>2195</v>
      </c>
      <c r="D9" s="8">
        <v>2.1800000000000002</v>
      </c>
      <c r="E9" s="4">
        <v>1483</v>
      </c>
      <c r="F9" s="8">
        <v>3.49</v>
      </c>
      <c r="G9" s="4">
        <v>707</v>
      </c>
      <c r="H9" s="8">
        <v>1.23</v>
      </c>
      <c r="I9" s="4">
        <v>5</v>
      </c>
    </row>
    <row r="10" spans="1:9" x14ac:dyDescent="0.2">
      <c r="A10" s="2">
        <v>8</v>
      </c>
      <c r="B10" s="1" t="s">
        <v>156</v>
      </c>
      <c r="C10" s="4">
        <v>1771</v>
      </c>
      <c r="D10" s="8">
        <v>1.76</v>
      </c>
      <c r="E10" s="4">
        <v>878</v>
      </c>
      <c r="F10" s="8">
        <v>2.06</v>
      </c>
      <c r="G10" s="4">
        <v>891</v>
      </c>
      <c r="H10" s="8">
        <v>1.55</v>
      </c>
      <c r="I10" s="4">
        <v>2</v>
      </c>
    </row>
    <row r="11" spans="1:9" x14ac:dyDescent="0.2">
      <c r="A11" s="2">
        <v>9</v>
      </c>
      <c r="B11" s="1" t="s">
        <v>152</v>
      </c>
      <c r="C11" s="4">
        <v>1691</v>
      </c>
      <c r="D11" s="8">
        <v>1.68</v>
      </c>
      <c r="E11" s="4">
        <v>347</v>
      </c>
      <c r="F11" s="8">
        <v>0.82</v>
      </c>
      <c r="G11" s="4">
        <v>1344</v>
      </c>
      <c r="H11" s="8">
        <v>2.34</v>
      </c>
      <c r="I11" s="4">
        <v>0</v>
      </c>
    </row>
    <row r="12" spans="1:9" x14ac:dyDescent="0.2">
      <c r="A12" s="2">
        <v>10</v>
      </c>
      <c r="B12" s="1" t="s">
        <v>153</v>
      </c>
      <c r="C12" s="4">
        <v>1666</v>
      </c>
      <c r="D12" s="8">
        <v>1.66</v>
      </c>
      <c r="E12" s="4">
        <v>211</v>
      </c>
      <c r="F12" s="8">
        <v>0.5</v>
      </c>
      <c r="G12" s="4">
        <v>1455</v>
      </c>
      <c r="H12" s="8">
        <v>2.5299999999999998</v>
      </c>
      <c r="I12" s="4">
        <v>0</v>
      </c>
    </row>
    <row r="13" spans="1:9" x14ac:dyDescent="0.2">
      <c r="A13" s="2">
        <v>11</v>
      </c>
      <c r="B13" s="1" t="s">
        <v>148</v>
      </c>
      <c r="C13" s="4">
        <v>1652</v>
      </c>
      <c r="D13" s="8">
        <v>1.64</v>
      </c>
      <c r="E13" s="4">
        <v>166</v>
      </c>
      <c r="F13" s="8">
        <v>0.39</v>
      </c>
      <c r="G13" s="4">
        <v>1486</v>
      </c>
      <c r="H13" s="8">
        <v>2.59</v>
      </c>
      <c r="I13" s="4">
        <v>0</v>
      </c>
    </row>
    <row r="14" spans="1:9" x14ac:dyDescent="0.2">
      <c r="A14" s="2">
        <v>12</v>
      </c>
      <c r="B14" s="1" t="s">
        <v>150</v>
      </c>
      <c r="C14" s="4">
        <v>1628</v>
      </c>
      <c r="D14" s="8">
        <v>1.62</v>
      </c>
      <c r="E14" s="4">
        <v>684</v>
      </c>
      <c r="F14" s="8">
        <v>1.61</v>
      </c>
      <c r="G14" s="4">
        <v>944</v>
      </c>
      <c r="H14" s="8">
        <v>1.64</v>
      </c>
      <c r="I14" s="4">
        <v>0</v>
      </c>
    </row>
    <row r="15" spans="1:9" x14ac:dyDescent="0.2">
      <c r="A15" s="2">
        <v>13</v>
      </c>
      <c r="B15" s="1" t="s">
        <v>155</v>
      </c>
      <c r="C15" s="4">
        <v>1563</v>
      </c>
      <c r="D15" s="8">
        <v>1.55</v>
      </c>
      <c r="E15" s="4">
        <v>542</v>
      </c>
      <c r="F15" s="8">
        <v>1.27</v>
      </c>
      <c r="G15" s="4">
        <v>1021</v>
      </c>
      <c r="H15" s="8">
        <v>1.78</v>
      </c>
      <c r="I15" s="4">
        <v>0</v>
      </c>
    </row>
    <row r="16" spans="1:9" x14ac:dyDescent="0.2">
      <c r="A16" s="2">
        <v>14</v>
      </c>
      <c r="B16" s="1" t="s">
        <v>167</v>
      </c>
      <c r="C16" s="4">
        <v>1554</v>
      </c>
      <c r="D16" s="8">
        <v>1.55</v>
      </c>
      <c r="E16" s="4">
        <v>894</v>
      </c>
      <c r="F16" s="8">
        <v>2.1</v>
      </c>
      <c r="G16" s="4">
        <v>660</v>
      </c>
      <c r="H16" s="8">
        <v>1.1499999999999999</v>
      </c>
      <c r="I16" s="4">
        <v>0</v>
      </c>
    </row>
    <row r="17" spans="1:9" x14ac:dyDescent="0.2">
      <c r="A17" s="2">
        <v>15</v>
      </c>
      <c r="B17" s="1" t="s">
        <v>154</v>
      </c>
      <c r="C17" s="4">
        <v>1543</v>
      </c>
      <c r="D17" s="8">
        <v>1.53</v>
      </c>
      <c r="E17" s="4">
        <v>908</v>
      </c>
      <c r="F17" s="8">
        <v>2.13</v>
      </c>
      <c r="G17" s="4">
        <v>633</v>
      </c>
      <c r="H17" s="8">
        <v>1.1000000000000001</v>
      </c>
      <c r="I17" s="4">
        <v>2</v>
      </c>
    </row>
    <row r="18" spans="1:9" x14ac:dyDescent="0.2">
      <c r="A18" s="2">
        <v>16</v>
      </c>
      <c r="B18" s="1" t="s">
        <v>159</v>
      </c>
      <c r="C18" s="4">
        <v>1451</v>
      </c>
      <c r="D18" s="8">
        <v>1.44</v>
      </c>
      <c r="E18" s="4">
        <v>33</v>
      </c>
      <c r="F18" s="8">
        <v>0.08</v>
      </c>
      <c r="G18" s="4">
        <v>1408</v>
      </c>
      <c r="H18" s="8">
        <v>2.4500000000000002</v>
      </c>
      <c r="I18" s="4">
        <v>8</v>
      </c>
    </row>
    <row r="19" spans="1:9" x14ac:dyDescent="0.2">
      <c r="A19" s="2">
        <v>17</v>
      </c>
      <c r="B19" s="1" t="s">
        <v>157</v>
      </c>
      <c r="C19" s="4">
        <v>1434</v>
      </c>
      <c r="D19" s="8">
        <v>1.43</v>
      </c>
      <c r="E19" s="4">
        <v>175</v>
      </c>
      <c r="F19" s="8">
        <v>0.41</v>
      </c>
      <c r="G19" s="4">
        <v>1258</v>
      </c>
      <c r="H19" s="8">
        <v>2.19</v>
      </c>
      <c r="I19" s="4">
        <v>1</v>
      </c>
    </row>
    <row r="20" spans="1:9" x14ac:dyDescent="0.2">
      <c r="A20" s="2">
        <v>18</v>
      </c>
      <c r="B20" s="1" t="s">
        <v>149</v>
      </c>
      <c r="C20" s="4">
        <v>1364</v>
      </c>
      <c r="D20" s="8">
        <v>1.36</v>
      </c>
      <c r="E20" s="4">
        <v>152</v>
      </c>
      <c r="F20" s="8">
        <v>0.36</v>
      </c>
      <c r="G20" s="4">
        <v>1211</v>
      </c>
      <c r="H20" s="8">
        <v>2.11</v>
      </c>
      <c r="I20" s="4">
        <v>1</v>
      </c>
    </row>
    <row r="21" spans="1:9" x14ac:dyDescent="0.2">
      <c r="A21" s="2">
        <v>19</v>
      </c>
      <c r="B21" s="1" t="s">
        <v>160</v>
      </c>
      <c r="C21" s="4">
        <v>1335</v>
      </c>
      <c r="D21" s="8">
        <v>1.33</v>
      </c>
      <c r="E21" s="4">
        <v>278</v>
      </c>
      <c r="F21" s="8">
        <v>0.65</v>
      </c>
      <c r="G21" s="4">
        <v>1038</v>
      </c>
      <c r="H21" s="8">
        <v>1.81</v>
      </c>
      <c r="I21" s="4">
        <v>3</v>
      </c>
    </row>
    <row r="22" spans="1:9" x14ac:dyDescent="0.2">
      <c r="A22" s="2">
        <v>20</v>
      </c>
      <c r="B22" s="1" t="s">
        <v>151</v>
      </c>
      <c r="C22" s="4">
        <v>1332</v>
      </c>
      <c r="D22" s="8">
        <v>1.32</v>
      </c>
      <c r="E22" s="4">
        <v>188</v>
      </c>
      <c r="F22" s="8">
        <v>0.44</v>
      </c>
      <c r="G22" s="4">
        <v>1144</v>
      </c>
      <c r="H22" s="8">
        <v>1.99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158</v>
      </c>
      <c r="C25" s="4">
        <v>728</v>
      </c>
      <c r="D25" s="8">
        <v>5.5</v>
      </c>
      <c r="E25" s="4">
        <v>316</v>
      </c>
      <c r="F25" s="8">
        <v>7.27</v>
      </c>
      <c r="G25" s="4">
        <v>412</v>
      </c>
      <c r="H25" s="8">
        <v>4.6399999999999997</v>
      </c>
      <c r="I25" s="4">
        <v>0</v>
      </c>
    </row>
    <row r="26" spans="1:9" x14ac:dyDescent="0.2">
      <c r="A26" s="2">
        <v>2</v>
      </c>
      <c r="B26" s="1" t="s">
        <v>164</v>
      </c>
      <c r="C26" s="4">
        <v>647</v>
      </c>
      <c r="D26" s="8">
        <v>4.8899999999999997</v>
      </c>
      <c r="E26" s="4">
        <v>516</v>
      </c>
      <c r="F26" s="8">
        <v>11.86</v>
      </c>
      <c r="G26" s="4">
        <v>131</v>
      </c>
      <c r="H26" s="8">
        <v>1.48</v>
      </c>
      <c r="I26" s="4">
        <v>0</v>
      </c>
    </row>
    <row r="27" spans="1:9" x14ac:dyDescent="0.2">
      <c r="A27" s="2">
        <v>3</v>
      </c>
      <c r="B27" s="1" t="s">
        <v>163</v>
      </c>
      <c r="C27" s="4">
        <v>449</v>
      </c>
      <c r="D27" s="8">
        <v>3.39</v>
      </c>
      <c r="E27" s="4">
        <v>397</v>
      </c>
      <c r="F27" s="8">
        <v>9.1300000000000008</v>
      </c>
      <c r="G27" s="4">
        <v>52</v>
      </c>
      <c r="H27" s="8">
        <v>0.59</v>
      </c>
      <c r="I27" s="4">
        <v>0</v>
      </c>
    </row>
    <row r="28" spans="1:9" x14ac:dyDescent="0.2">
      <c r="A28" s="2">
        <v>4</v>
      </c>
      <c r="B28" s="1" t="s">
        <v>166</v>
      </c>
      <c r="C28" s="4">
        <v>328</v>
      </c>
      <c r="D28" s="8">
        <v>2.48</v>
      </c>
      <c r="E28" s="4">
        <v>263</v>
      </c>
      <c r="F28" s="8">
        <v>6.05</v>
      </c>
      <c r="G28" s="4">
        <v>65</v>
      </c>
      <c r="H28" s="8">
        <v>0.73</v>
      </c>
      <c r="I28" s="4">
        <v>0</v>
      </c>
    </row>
    <row r="29" spans="1:9" x14ac:dyDescent="0.2">
      <c r="A29" s="2">
        <v>5</v>
      </c>
      <c r="B29" s="1" t="s">
        <v>161</v>
      </c>
      <c r="C29" s="4">
        <v>310</v>
      </c>
      <c r="D29" s="8">
        <v>2.34</v>
      </c>
      <c r="E29" s="4">
        <v>199</v>
      </c>
      <c r="F29" s="8">
        <v>4.58</v>
      </c>
      <c r="G29" s="4">
        <v>111</v>
      </c>
      <c r="H29" s="8">
        <v>1.25</v>
      </c>
      <c r="I29" s="4">
        <v>0</v>
      </c>
    </row>
    <row r="30" spans="1:9" x14ac:dyDescent="0.2">
      <c r="A30" s="2">
        <v>6</v>
      </c>
      <c r="B30" s="1" t="s">
        <v>165</v>
      </c>
      <c r="C30" s="4">
        <v>271</v>
      </c>
      <c r="D30" s="8">
        <v>2.0499999999999998</v>
      </c>
      <c r="E30" s="4">
        <v>159</v>
      </c>
      <c r="F30" s="8">
        <v>3.66</v>
      </c>
      <c r="G30" s="4">
        <v>111</v>
      </c>
      <c r="H30" s="8">
        <v>1.25</v>
      </c>
      <c r="I30" s="4">
        <v>1</v>
      </c>
    </row>
    <row r="31" spans="1:9" x14ac:dyDescent="0.2">
      <c r="A31" s="2">
        <v>7</v>
      </c>
      <c r="B31" s="1" t="s">
        <v>162</v>
      </c>
      <c r="C31" s="4">
        <v>261</v>
      </c>
      <c r="D31" s="8">
        <v>1.97</v>
      </c>
      <c r="E31" s="4">
        <v>211</v>
      </c>
      <c r="F31" s="8">
        <v>4.8499999999999996</v>
      </c>
      <c r="G31" s="4">
        <v>50</v>
      </c>
      <c r="H31" s="8">
        <v>0.56000000000000005</v>
      </c>
      <c r="I31" s="4">
        <v>0</v>
      </c>
    </row>
    <row r="32" spans="1:9" x14ac:dyDescent="0.2">
      <c r="A32" s="2">
        <v>8</v>
      </c>
      <c r="B32" s="1" t="s">
        <v>160</v>
      </c>
      <c r="C32" s="4">
        <v>259</v>
      </c>
      <c r="D32" s="8">
        <v>1.96</v>
      </c>
      <c r="E32" s="4">
        <v>26</v>
      </c>
      <c r="F32" s="8">
        <v>0.6</v>
      </c>
      <c r="G32" s="4">
        <v>232</v>
      </c>
      <c r="H32" s="8">
        <v>2.62</v>
      </c>
      <c r="I32" s="4">
        <v>0</v>
      </c>
    </row>
    <row r="33" spans="1:9" x14ac:dyDescent="0.2">
      <c r="A33" s="2">
        <v>9</v>
      </c>
      <c r="B33" s="1" t="s">
        <v>157</v>
      </c>
      <c r="C33" s="4">
        <v>255</v>
      </c>
      <c r="D33" s="8">
        <v>1.93</v>
      </c>
      <c r="E33" s="4">
        <v>33</v>
      </c>
      <c r="F33" s="8">
        <v>0.76</v>
      </c>
      <c r="G33" s="4">
        <v>222</v>
      </c>
      <c r="H33" s="8">
        <v>2.5</v>
      </c>
      <c r="I33" s="4">
        <v>0</v>
      </c>
    </row>
    <row r="34" spans="1:9" x14ac:dyDescent="0.2">
      <c r="A34" s="2">
        <v>10</v>
      </c>
      <c r="B34" s="1" t="s">
        <v>153</v>
      </c>
      <c r="C34" s="4">
        <v>248</v>
      </c>
      <c r="D34" s="8">
        <v>1.87</v>
      </c>
      <c r="E34" s="4">
        <v>8</v>
      </c>
      <c r="F34" s="8">
        <v>0.18</v>
      </c>
      <c r="G34" s="4">
        <v>240</v>
      </c>
      <c r="H34" s="8">
        <v>2.71</v>
      </c>
      <c r="I34" s="4">
        <v>0</v>
      </c>
    </row>
    <row r="35" spans="1:9" x14ac:dyDescent="0.2">
      <c r="A35" s="2">
        <v>11</v>
      </c>
      <c r="B35" s="1" t="s">
        <v>156</v>
      </c>
      <c r="C35" s="4">
        <v>232</v>
      </c>
      <c r="D35" s="8">
        <v>1.75</v>
      </c>
      <c r="E35" s="4">
        <v>93</v>
      </c>
      <c r="F35" s="8">
        <v>2.14</v>
      </c>
      <c r="G35" s="4">
        <v>138</v>
      </c>
      <c r="H35" s="8">
        <v>1.56</v>
      </c>
      <c r="I35" s="4">
        <v>1</v>
      </c>
    </row>
    <row r="36" spans="1:9" x14ac:dyDescent="0.2">
      <c r="A36" s="2">
        <v>12</v>
      </c>
      <c r="B36" s="1" t="s">
        <v>152</v>
      </c>
      <c r="C36" s="4">
        <v>231</v>
      </c>
      <c r="D36" s="8">
        <v>1.74</v>
      </c>
      <c r="E36" s="4">
        <v>20</v>
      </c>
      <c r="F36" s="8">
        <v>0.46</v>
      </c>
      <c r="G36" s="4">
        <v>211</v>
      </c>
      <c r="H36" s="8">
        <v>2.38</v>
      </c>
      <c r="I36" s="4">
        <v>0</v>
      </c>
    </row>
    <row r="37" spans="1:9" x14ac:dyDescent="0.2">
      <c r="A37" s="2">
        <v>13</v>
      </c>
      <c r="B37" s="1" t="s">
        <v>159</v>
      </c>
      <c r="C37" s="4">
        <v>216</v>
      </c>
      <c r="D37" s="8">
        <v>1.63</v>
      </c>
      <c r="E37" s="4">
        <v>4</v>
      </c>
      <c r="F37" s="8">
        <v>0.09</v>
      </c>
      <c r="G37" s="4">
        <v>210</v>
      </c>
      <c r="H37" s="8">
        <v>2.37</v>
      </c>
      <c r="I37" s="4">
        <v>2</v>
      </c>
    </row>
    <row r="38" spans="1:9" x14ac:dyDescent="0.2">
      <c r="A38" s="2">
        <v>14</v>
      </c>
      <c r="B38" s="1" t="s">
        <v>151</v>
      </c>
      <c r="C38" s="4">
        <v>214</v>
      </c>
      <c r="D38" s="8">
        <v>1.62</v>
      </c>
      <c r="E38" s="4">
        <v>6</v>
      </c>
      <c r="F38" s="8">
        <v>0.14000000000000001</v>
      </c>
      <c r="G38" s="4">
        <v>208</v>
      </c>
      <c r="H38" s="8">
        <v>2.34</v>
      </c>
      <c r="I38" s="4">
        <v>0</v>
      </c>
    </row>
    <row r="39" spans="1:9" x14ac:dyDescent="0.2">
      <c r="A39" s="2">
        <v>15</v>
      </c>
      <c r="B39" s="1" t="s">
        <v>170</v>
      </c>
      <c r="C39" s="4">
        <v>207</v>
      </c>
      <c r="D39" s="8">
        <v>1.56</v>
      </c>
      <c r="E39" s="4">
        <v>193</v>
      </c>
      <c r="F39" s="8">
        <v>4.4400000000000004</v>
      </c>
      <c r="G39" s="4">
        <v>14</v>
      </c>
      <c r="H39" s="8">
        <v>0.16</v>
      </c>
      <c r="I39" s="4">
        <v>0</v>
      </c>
    </row>
    <row r="40" spans="1:9" x14ac:dyDescent="0.2">
      <c r="A40" s="2">
        <v>16</v>
      </c>
      <c r="B40" s="1" t="s">
        <v>148</v>
      </c>
      <c r="C40" s="4">
        <v>206</v>
      </c>
      <c r="D40" s="8">
        <v>1.56</v>
      </c>
      <c r="E40" s="4">
        <v>5</v>
      </c>
      <c r="F40" s="8">
        <v>0.11</v>
      </c>
      <c r="G40" s="4">
        <v>201</v>
      </c>
      <c r="H40" s="8">
        <v>2.27</v>
      </c>
      <c r="I40" s="4">
        <v>0</v>
      </c>
    </row>
    <row r="41" spans="1:9" x14ac:dyDescent="0.2">
      <c r="A41" s="2">
        <v>17</v>
      </c>
      <c r="B41" s="1" t="s">
        <v>169</v>
      </c>
      <c r="C41" s="4">
        <v>199</v>
      </c>
      <c r="D41" s="8">
        <v>1.5</v>
      </c>
      <c r="E41" s="4">
        <v>96</v>
      </c>
      <c r="F41" s="8">
        <v>2.21</v>
      </c>
      <c r="G41" s="4">
        <v>103</v>
      </c>
      <c r="H41" s="8">
        <v>1.1599999999999999</v>
      </c>
      <c r="I41" s="4">
        <v>0</v>
      </c>
    </row>
    <row r="42" spans="1:9" x14ac:dyDescent="0.2">
      <c r="A42" s="2">
        <v>18</v>
      </c>
      <c r="B42" s="1" t="s">
        <v>155</v>
      </c>
      <c r="C42" s="4">
        <v>189</v>
      </c>
      <c r="D42" s="8">
        <v>1.43</v>
      </c>
      <c r="E42" s="4">
        <v>36</v>
      </c>
      <c r="F42" s="8">
        <v>0.83</v>
      </c>
      <c r="G42" s="4">
        <v>153</v>
      </c>
      <c r="H42" s="8">
        <v>1.72</v>
      </c>
      <c r="I42" s="4">
        <v>0</v>
      </c>
    </row>
    <row r="43" spans="1:9" x14ac:dyDescent="0.2">
      <c r="A43" s="2">
        <v>19</v>
      </c>
      <c r="B43" s="1" t="s">
        <v>154</v>
      </c>
      <c r="C43" s="4">
        <v>186</v>
      </c>
      <c r="D43" s="8">
        <v>1.41</v>
      </c>
      <c r="E43" s="4">
        <v>84</v>
      </c>
      <c r="F43" s="8">
        <v>1.93</v>
      </c>
      <c r="G43" s="4">
        <v>102</v>
      </c>
      <c r="H43" s="8">
        <v>1.1499999999999999</v>
      </c>
      <c r="I43" s="4">
        <v>0</v>
      </c>
    </row>
    <row r="44" spans="1:9" x14ac:dyDescent="0.2">
      <c r="A44" s="2">
        <v>20</v>
      </c>
      <c r="B44" s="1" t="s">
        <v>168</v>
      </c>
      <c r="C44" s="4">
        <v>185</v>
      </c>
      <c r="D44" s="8">
        <v>1.4</v>
      </c>
      <c r="E44" s="4">
        <v>40</v>
      </c>
      <c r="F44" s="8">
        <v>0.92</v>
      </c>
      <c r="G44" s="4">
        <v>145</v>
      </c>
      <c r="H44" s="8">
        <v>1.63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158</v>
      </c>
      <c r="C47" s="4">
        <v>289</v>
      </c>
      <c r="D47" s="8">
        <v>6.23</v>
      </c>
      <c r="E47" s="4">
        <v>157</v>
      </c>
      <c r="F47" s="8">
        <v>9.7200000000000006</v>
      </c>
      <c r="G47" s="4">
        <v>132</v>
      </c>
      <c r="H47" s="8">
        <v>4.38</v>
      </c>
      <c r="I47" s="4">
        <v>0</v>
      </c>
    </row>
    <row r="48" spans="1:9" x14ac:dyDescent="0.2">
      <c r="A48" s="2">
        <v>2</v>
      </c>
      <c r="B48" s="1" t="s">
        <v>164</v>
      </c>
      <c r="C48" s="4">
        <v>201</v>
      </c>
      <c r="D48" s="8">
        <v>4.33</v>
      </c>
      <c r="E48" s="4">
        <v>160</v>
      </c>
      <c r="F48" s="8">
        <v>9.91</v>
      </c>
      <c r="G48" s="4">
        <v>41</v>
      </c>
      <c r="H48" s="8">
        <v>1.36</v>
      </c>
      <c r="I48" s="4">
        <v>0</v>
      </c>
    </row>
    <row r="49" spans="1:9" x14ac:dyDescent="0.2">
      <c r="A49" s="2">
        <v>3</v>
      </c>
      <c r="B49" s="1" t="s">
        <v>161</v>
      </c>
      <c r="C49" s="4">
        <v>141</v>
      </c>
      <c r="D49" s="8">
        <v>3.04</v>
      </c>
      <c r="E49" s="4">
        <v>87</v>
      </c>
      <c r="F49" s="8">
        <v>5.39</v>
      </c>
      <c r="G49" s="4">
        <v>54</v>
      </c>
      <c r="H49" s="8">
        <v>1.79</v>
      </c>
      <c r="I49" s="4">
        <v>0</v>
      </c>
    </row>
    <row r="50" spans="1:9" x14ac:dyDescent="0.2">
      <c r="A50" s="2">
        <v>4</v>
      </c>
      <c r="B50" s="1" t="s">
        <v>163</v>
      </c>
      <c r="C50" s="4">
        <v>131</v>
      </c>
      <c r="D50" s="8">
        <v>2.82</v>
      </c>
      <c r="E50" s="4">
        <v>121</v>
      </c>
      <c r="F50" s="8">
        <v>7.49</v>
      </c>
      <c r="G50" s="4">
        <v>10</v>
      </c>
      <c r="H50" s="8">
        <v>0.33</v>
      </c>
      <c r="I50" s="4">
        <v>0</v>
      </c>
    </row>
    <row r="51" spans="1:9" x14ac:dyDescent="0.2">
      <c r="A51" s="2">
        <v>5</v>
      </c>
      <c r="B51" s="1" t="s">
        <v>160</v>
      </c>
      <c r="C51" s="4">
        <v>127</v>
      </c>
      <c r="D51" s="8">
        <v>2.74</v>
      </c>
      <c r="E51" s="4">
        <v>9</v>
      </c>
      <c r="F51" s="8">
        <v>0.56000000000000005</v>
      </c>
      <c r="G51" s="4">
        <v>117</v>
      </c>
      <c r="H51" s="8">
        <v>3.88</v>
      </c>
      <c r="I51" s="4">
        <v>0</v>
      </c>
    </row>
    <row r="52" spans="1:9" x14ac:dyDescent="0.2">
      <c r="A52" s="2">
        <v>6</v>
      </c>
      <c r="B52" s="1" t="s">
        <v>162</v>
      </c>
      <c r="C52" s="4">
        <v>115</v>
      </c>
      <c r="D52" s="8">
        <v>2.48</v>
      </c>
      <c r="E52" s="4">
        <v>90</v>
      </c>
      <c r="F52" s="8">
        <v>5.57</v>
      </c>
      <c r="G52" s="4">
        <v>25</v>
      </c>
      <c r="H52" s="8">
        <v>0.83</v>
      </c>
      <c r="I52" s="4">
        <v>0</v>
      </c>
    </row>
    <row r="53" spans="1:9" x14ac:dyDescent="0.2">
      <c r="A53" s="2">
        <v>7</v>
      </c>
      <c r="B53" s="1" t="s">
        <v>157</v>
      </c>
      <c r="C53" s="4">
        <v>106</v>
      </c>
      <c r="D53" s="8">
        <v>2.2799999999999998</v>
      </c>
      <c r="E53" s="4">
        <v>18</v>
      </c>
      <c r="F53" s="8">
        <v>1.1100000000000001</v>
      </c>
      <c r="G53" s="4">
        <v>88</v>
      </c>
      <c r="H53" s="8">
        <v>2.92</v>
      </c>
      <c r="I53" s="4">
        <v>0</v>
      </c>
    </row>
    <row r="54" spans="1:9" x14ac:dyDescent="0.2">
      <c r="A54" s="2">
        <v>8</v>
      </c>
      <c r="B54" s="1" t="s">
        <v>172</v>
      </c>
      <c r="C54" s="4">
        <v>105</v>
      </c>
      <c r="D54" s="8">
        <v>2.2599999999999998</v>
      </c>
      <c r="E54" s="4">
        <v>93</v>
      </c>
      <c r="F54" s="8">
        <v>5.76</v>
      </c>
      <c r="G54" s="4">
        <v>12</v>
      </c>
      <c r="H54" s="8">
        <v>0.4</v>
      </c>
      <c r="I54" s="4">
        <v>0</v>
      </c>
    </row>
    <row r="55" spans="1:9" x14ac:dyDescent="0.2">
      <c r="A55" s="2">
        <v>9</v>
      </c>
      <c r="B55" s="1" t="s">
        <v>166</v>
      </c>
      <c r="C55" s="4">
        <v>101</v>
      </c>
      <c r="D55" s="8">
        <v>2.1800000000000002</v>
      </c>
      <c r="E55" s="4">
        <v>82</v>
      </c>
      <c r="F55" s="8">
        <v>5.08</v>
      </c>
      <c r="G55" s="4">
        <v>19</v>
      </c>
      <c r="H55" s="8">
        <v>0.63</v>
      </c>
      <c r="I55" s="4">
        <v>0</v>
      </c>
    </row>
    <row r="56" spans="1:9" x14ac:dyDescent="0.2">
      <c r="A56" s="2">
        <v>10</v>
      </c>
      <c r="B56" s="1" t="s">
        <v>156</v>
      </c>
      <c r="C56" s="4">
        <v>98</v>
      </c>
      <c r="D56" s="8">
        <v>2.11</v>
      </c>
      <c r="E56" s="4">
        <v>42</v>
      </c>
      <c r="F56" s="8">
        <v>2.6</v>
      </c>
      <c r="G56" s="4">
        <v>55</v>
      </c>
      <c r="H56" s="8">
        <v>1.82</v>
      </c>
      <c r="I56" s="4">
        <v>1</v>
      </c>
    </row>
    <row r="57" spans="1:9" x14ac:dyDescent="0.2">
      <c r="A57" s="2">
        <v>11</v>
      </c>
      <c r="B57" s="1" t="s">
        <v>159</v>
      </c>
      <c r="C57" s="4">
        <v>79</v>
      </c>
      <c r="D57" s="8">
        <v>1.7</v>
      </c>
      <c r="E57" s="4">
        <v>4</v>
      </c>
      <c r="F57" s="8">
        <v>0.25</v>
      </c>
      <c r="G57" s="4">
        <v>74</v>
      </c>
      <c r="H57" s="8">
        <v>2.4500000000000002</v>
      </c>
      <c r="I57" s="4">
        <v>1</v>
      </c>
    </row>
    <row r="58" spans="1:9" x14ac:dyDescent="0.2">
      <c r="A58" s="2">
        <v>12</v>
      </c>
      <c r="B58" s="1" t="s">
        <v>165</v>
      </c>
      <c r="C58" s="4">
        <v>74</v>
      </c>
      <c r="D58" s="8">
        <v>1.6</v>
      </c>
      <c r="E58" s="4">
        <v>47</v>
      </c>
      <c r="F58" s="8">
        <v>2.91</v>
      </c>
      <c r="G58" s="4">
        <v>27</v>
      </c>
      <c r="H58" s="8">
        <v>0.9</v>
      </c>
      <c r="I58" s="4">
        <v>0</v>
      </c>
    </row>
    <row r="59" spans="1:9" x14ac:dyDescent="0.2">
      <c r="A59" s="2">
        <v>13</v>
      </c>
      <c r="B59" s="1" t="s">
        <v>148</v>
      </c>
      <c r="C59" s="4">
        <v>68</v>
      </c>
      <c r="D59" s="8">
        <v>1.47</v>
      </c>
      <c r="E59" s="4">
        <v>2</v>
      </c>
      <c r="F59" s="8">
        <v>0.12</v>
      </c>
      <c r="G59" s="4">
        <v>66</v>
      </c>
      <c r="H59" s="8">
        <v>2.19</v>
      </c>
      <c r="I59" s="4">
        <v>0</v>
      </c>
    </row>
    <row r="60" spans="1:9" x14ac:dyDescent="0.2">
      <c r="A60" s="2">
        <v>13</v>
      </c>
      <c r="B60" s="1" t="s">
        <v>173</v>
      </c>
      <c r="C60" s="4">
        <v>68</v>
      </c>
      <c r="D60" s="8">
        <v>1.47</v>
      </c>
      <c r="E60" s="4">
        <v>24</v>
      </c>
      <c r="F60" s="8">
        <v>1.49</v>
      </c>
      <c r="G60" s="4">
        <v>44</v>
      </c>
      <c r="H60" s="8">
        <v>1.46</v>
      </c>
      <c r="I60" s="4">
        <v>0</v>
      </c>
    </row>
    <row r="61" spans="1:9" x14ac:dyDescent="0.2">
      <c r="A61" s="2">
        <v>15</v>
      </c>
      <c r="B61" s="1" t="s">
        <v>154</v>
      </c>
      <c r="C61" s="4">
        <v>66</v>
      </c>
      <c r="D61" s="8">
        <v>1.42</v>
      </c>
      <c r="E61" s="4">
        <v>24</v>
      </c>
      <c r="F61" s="8">
        <v>1.49</v>
      </c>
      <c r="G61" s="4">
        <v>42</v>
      </c>
      <c r="H61" s="8">
        <v>1.39</v>
      </c>
      <c r="I61" s="4">
        <v>0</v>
      </c>
    </row>
    <row r="62" spans="1:9" x14ac:dyDescent="0.2">
      <c r="A62" s="2">
        <v>15</v>
      </c>
      <c r="B62" s="1" t="s">
        <v>168</v>
      </c>
      <c r="C62" s="4">
        <v>66</v>
      </c>
      <c r="D62" s="8">
        <v>1.42</v>
      </c>
      <c r="E62" s="4">
        <v>14</v>
      </c>
      <c r="F62" s="8">
        <v>0.87</v>
      </c>
      <c r="G62" s="4">
        <v>52</v>
      </c>
      <c r="H62" s="8">
        <v>1.72</v>
      </c>
      <c r="I62" s="4">
        <v>0</v>
      </c>
    </row>
    <row r="63" spans="1:9" x14ac:dyDescent="0.2">
      <c r="A63" s="2">
        <v>17</v>
      </c>
      <c r="B63" s="1" t="s">
        <v>170</v>
      </c>
      <c r="C63" s="4">
        <v>63</v>
      </c>
      <c r="D63" s="8">
        <v>1.36</v>
      </c>
      <c r="E63" s="4">
        <v>61</v>
      </c>
      <c r="F63" s="8">
        <v>3.78</v>
      </c>
      <c r="G63" s="4">
        <v>2</v>
      </c>
      <c r="H63" s="8">
        <v>7.0000000000000007E-2</v>
      </c>
      <c r="I63" s="4">
        <v>0</v>
      </c>
    </row>
    <row r="64" spans="1:9" x14ac:dyDescent="0.2">
      <c r="A64" s="2">
        <v>18</v>
      </c>
      <c r="B64" s="1" t="s">
        <v>153</v>
      </c>
      <c r="C64" s="4">
        <v>62</v>
      </c>
      <c r="D64" s="8">
        <v>1.34</v>
      </c>
      <c r="E64" s="4">
        <v>2</v>
      </c>
      <c r="F64" s="8">
        <v>0.12</v>
      </c>
      <c r="G64" s="4">
        <v>60</v>
      </c>
      <c r="H64" s="8">
        <v>1.99</v>
      </c>
      <c r="I64" s="4">
        <v>0</v>
      </c>
    </row>
    <row r="65" spans="1:9" x14ac:dyDescent="0.2">
      <c r="A65" s="2">
        <v>19</v>
      </c>
      <c r="B65" s="1" t="s">
        <v>152</v>
      </c>
      <c r="C65" s="4">
        <v>60</v>
      </c>
      <c r="D65" s="8">
        <v>1.29</v>
      </c>
      <c r="E65" s="4">
        <v>3</v>
      </c>
      <c r="F65" s="8">
        <v>0.19</v>
      </c>
      <c r="G65" s="4">
        <v>57</v>
      </c>
      <c r="H65" s="8">
        <v>1.89</v>
      </c>
      <c r="I65" s="4">
        <v>0</v>
      </c>
    </row>
    <row r="66" spans="1:9" x14ac:dyDescent="0.2">
      <c r="A66" s="2">
        <v>20</v>
      </c>
      <c r="B66" s="1" t="s">
        <v>171</v>
      </c>
      <c r="C66" s="4">
        <v>58</v>
      </c>
      <c r="D66" s="8">
        <v>1.25</v>
      </c>
      <c r="E66" s="4">
        <v>0</v>
      </c>
      <c r="F66" s="8">
        <v>0</v>
      </c>
      <c r="G66" s="4">
        <v>58</v>
      </c>
      <c r="H66" s="8">
        <v>1.92</v>
      </c>
      <c r="I66" s="4">
        <v>0</v>
      </c>
    </row>
    <row r="67" spans="1:9" x14ac:dyDescent="0.2">
      <c r="A67" s="2">
        <v>20</v>
      </c>
      <c r="B67" s="1" t="s">
        <v>169</v>
      </c>
      <c r="C67" s="4">
        <v>58</v>
      </c>
      <c r="D67" s="8">
        <v>1.25</v>
      </c>
      <c r="E67" s="4">
        <v>34</v>
      </c>
      <c r="F67" s="8">
        <v>2.11</v>
      </c>
      <c r="G67" s="4">
        <v>24</v>
      </c>
      <c r="H67" s="8">
        <v>0.8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158</v>
      </c>
      <c r="C70" s="4">
        <v>151</v>
      </c>
      <c r="D70" s="8">
        <v>7.25</v>
      </c>
      <c r="E70" s="4">
        <v>71</v>
      </c>
      <c r="F70" s="8">
        <v>9.56</v>
      </c>
      <c r="G70" s="4">
        <v>80</v>
      </c>
      <c r="H70" s="8">
        <v>5.98</v>
      </c>
      <c r="I70" s="4">
        <v>0</v>
      </c>
    </row>
    <row r="71" spans="1:9" x14ac:dyDescent="0.2">
      <c r="A71" s="2">
        <v>2</v>
      </c>
      <c r="B71" s="1" t="s">
        <v>164</v>
      </c>
      <c r="C71" s="4">
        <v>104</v>
      </c>
      <c r="D71" s="8">
        <v>5</v>
      </c>
      <c r="E71" s="4">
        <v>85</v>
      </c>
      <c r="F71" s="8">
        <v>11.44</v>
      </c>
      <c r="G71" s="4">
        <v>19</v>
      </c>
      <c r="H71" s="8">
        <v>1.42</v>
      </c>
      <c r="I71" s="4">
        <v>0</v>
      </c>
    </row>
    <row r="72" spans="1:9" x14ac:dyDescent="0.2">
      <c r="A72" s="2">
        <v>3</v>
      </c>
      <c r="B72" s="1" t="s">
        <v>163</v>
      </c>
      <c r="C72" s="4">
        <v>78</v>
      </c>
      <c r="D72" s="8">
        <v>3.75</v>
      </c>
      <c r="E72" s="4">
        <v>68</v>
      </c>
      <c r="F72" s="8">
        <v>9.15</v>
      </c>
      <c r="G72" s="4">
        <v>10</v>
      </c>
      <c r="H72" s="8">
        <v>0.75</v>
      </c>
      <c r="I72" s="4">
        <v>0</v>
      </c>
    </row>
    <row r="73" spans="1:9" x14ac:dyDescent="0.2">
      <c r="A73" s="2">
        <v>4</v>
      </c>
      <c r="B73" s="1" t="s">
        <v>153</v>
      </c>
      <c r="C73" s="4">
        <v>49</v>
      </c>
      <c r="D73" s="8">
        <v>2.35</v>
      </c>
      <c r="E73" s="4">
        <v>2</v>
      </c>
      <c r="F73" s="8">
        <v>0.27</v>
      </c>
      <c r="G73" s="4">
        <v>47</v>
      </c>
      <c r="H73" s="8">
        <v>3.51</v>
      </c>
      <c r="I73" s="4">
        <v>0</v>
      </c>
    </row>
    <row r="74" spans="1:9" x14ac:dyDescent="0.2">
      <c r="A74" s="2">
        <v>5</v>
      </c>
      <c r="B74" s="1" t="s">
        <v>155</v>
      </c>
      <c r="C74" s="4">
        <v>47</v>
      </c>
      <c r="D74" s="8">
        <v>2.2599999999999998</v>
      </c>
      <c r="E74" s="4">
        <v>6</v>
      </c>
      <c r="F74" s="8">
        <v>0.81</v>
      </c>
      <c r="G74" s="4">
        <v>41</v>
      </c>
      <c r="H74" s="8">
        <v>3.06</v>
      </c>
      <c r="I74" s="4">
        <v>0</v>
      </c>
    </row>
    <row r="75" spans="1:9" x14ac:dyDescent="0.2">
      <c r="A75" s="2">
        <v>6</v>
      </c>
      <c r="B75" s="1" t="s">
        <v>166</v>
      </c>
      <c r="C75" s="4">
        <v>46</v>
      </c>
      <c r="D75" s="8">
        <v>2.21</v>
      </c>
      <c r="E75" s="4">
        <v>38</v>
      </c>
      <c r="F75" s="8">
        <v>5.1100000000000003</v>
      </c>
      <c r="G75" s="4">
        <v>8</v>
      </c>
      <c r="H75" s="8">
        <v>0.6</v>
      </c>
      <c r="I75" s="4">
        <v>0</v>
      </c>
    </row>
    <row r="76" spans="1:9" x14ac:dyDescent="0.2">
      <c r="A76" s="2">
        <v>7</v>
      </c>
      <c r="B76" s="1" t="s">
        <v>151</v>
      </c>
      <c r="C76" s="4">
        <v>44</v>
      </c>
      <c r="D76" s="8">
        <v>2.11</v>
      </c>
      <c r="E76" s="4">
        <v>1</v>
      </c>
      <c r="F76" s="8">
        <v>0.13</v>
      </c>
      <c r="G76" s="4">
        <v>43</v>
      </c>
      <c r="H76" s="8">
        <v>3.21</v>
      </c>
      <c r="I76" s="4">
        <v>0</v>
      </c>
    </row>
    <row r="77" spans="1:9" x14ac:dyDescent="0.2">
      <c r="A77" s="2">
        <v>7</v>
      </c>
      <c r="B77" s="1" t="s">
        <v>157</v>
      </c>
      <c r="C77" s="4">
        <v>44</v>
      </c>
      <c r="D77" s="8">
        <v>2.11</v>
      </c>
      <c r="E77" s="4">
        <v>11</v>
      </c>
      <c r="F77" s="8">
        <v>1.48</v>
      </c>
      <c r="G77" s="4">
        <v>33</v>
      </c>
      <c r="H77" s="8">
        <v>2.4700000000000002</v>
      </c>
      <c r="I77" s="4">
        <v>0</v>
      </c>
    </row>
    <row r="78" spans="1:9" x14ac:dyDescent="0.2">
      <c r="A78" s="2">
        <v>9</v>
      </c>
      <c r="B78" s="1" t="s">
        <v>165</v>
      </c>
      <c r="C78" s="4">
        <v>42</v>
      </c>
      <c r="D78" s="8">
        <v>2.02</v>
      </c>
      <c r="E78" s="4">
        <v>28</v>
      </c>
      <c r="F78" s="8">
        <v>3.77</v>
      </c>
      <c r="G78" s="4">
        <v>14</v>
      </c>
      <c r="H78" s="8">
        <v>1.05</v>
      </c>
      <c r="I78" s="4">
        <v>0</v>
      </c>
    </row>
    <row r="79" spans="1:9" x14ac:dyDescent="0.2">
      <c r="A79" s="2">
        <v>10</v>
      </c>
      <c r="B79" s="1" t="s">
        <v>152</v>
      </c>
      <c r="C79" s="4">
        <v>40</v>
      </c>
      <c r="D79" s="8">
        <v>1.92</v>
      </c>
      <c r="E79" s="4">
        <v>8</v>
      </c>
      <c r="F79" s="8">
        <v>1.08</v>
      </c>
      <c r="G79" s="4">
        <v>32</v>
      </c>
      <c r="H79" s="8">
        <v>2.39</v>
      </c>
      <c r="I79" s="4">
        <v>0</v>
      </c>
    </row>
    <row r="80" spans="1:9" x14ac:dyDescent="0.2">
      <c r="A80" s="2">
        <v>10</v>
      </c>
      <c r="B80" s="1" t="s">
        <v>170</v>
      </c>
      <c r="C80" s="4">
        <v>40</v>
      </c>
      <c r="D80" s="8">
        <v>1.92</v>
      </c>
      <c r="E80" s="4">
        <v>36</v>
      </c>
      <c r="F80" s="8">
        <v>4.8499999999999996</v>
      </c>
      <c r="G80" s="4">
        <v>4</v>
      </c>
      <c r="H80" s="8">
        <v>0.3</v>
      </c>
      <c r="I80" s="4">
        <v>0</v>
      </c>
    </row>
    <row r="81" spans="1:9" x14ac:dyDescent="0.2">
      <c r="A81" s="2">
        <v>12</v>
      </c>
      <c r="B81" s="1" t="s">
        <v>169</v>
      </c>
      <c r="C81" s="4">
        <v>39</v>
      </c>
      <c r="D81" s="8">
        <v>1.87</v>
      </c>
      <c r="E81" s="4">
        <v>22</v>
      </c>
      <c r="F81" s="8">
        <v>2.96</v>
      </c>
      <c r="G81" s="4">
        <v>17</v>
      </c>
      <c r="H81" s="8">
        <v>1.27</v>
      </c>
      <c r="I81" s="4">
        <v>0</v>
      </c>
    </row>
    <row r="82" spans="1:9" x14ac:dyDescent="0.2">
      <c r="A82" s="2">
        <v>13</v>
      </c>
      <c r="B82" s="1" t="s">
        <v>149</v>
      </c>
      <c r="C82" s="4">
        <v>38</v>
      </c>
      <c r="D82" s="8">
        <v>1.83</v>
      </c>
      <c r="E82" s="4">
        <v>1</v>
      </c>
      <c r="F82" s="8">
        <v>0.13</v>
      </c>
      <c r="G82" s="4">
        <v>37</v>
      </c>
      <c r="H82" s="8">
        <v>2.77</v>
      </c>
      <c r="I82" s="4">
        <v>0</v>
      </c>
    </row>
    <row r="83" spans="1:9" x14ac:dyDescent="0.2">
      <c r="A83" s="2">
        <v>13</v>
      </c>
      <c r="B83" s="1" t="s">
        <v>167</v>
      </c>
      <c r="C83" s="4">
        <v>38</v>
      </c>
      <c r="D83" s="8">
        <v>1.83</v>
      </c>
      <c r="E83" s="4">
        <v>14</v>
      </c>
      <c r="F83" s="8">
        <v>1.88</v>
      </c>
      <c r="G83" s="4">
        <v>24</v>
      </c>
      <c r="H83" s="8">
        <v>1.79</v>
      </c>
      <c r="I83" s="4">
        <v>0</v>
      </c>
    </row>
    <row r="84" spans="1:9" x14ac:dyDescent="0.2">
      <c r="A84" s="2">
        <v>15</v>
      </c>
      <c r="B84" s="1" t="s">
        <v>161</v>
      </c>
      <c r="C84" s="4">
        <v>37</v>
      </c>
      <c r="D84" s="8">
        <v>1.78</v>
      </c>
      <c r="E84" s="4">
        <v>26</v>
      </c>
      <c r="F84" s="8">
        <v>3.5</v>
      </c>
      <c r="G84" s="4">
        <v>11</v>
      </c>
      <c r="H84" s="8">
        <v>0.82</v>
      </c>
      <c r="I84" s="4">
        <v>0</v>
      </c>
    </row>
    <row r="85" spans="1:9" x14ac:dyDescent="0.2">
      <c r="A85" s="2">
        <v>16</v>
      </c>
      <c r="B85" s="1" t="s">
        <v>162</v>
      </c>
      <c r="C85" s="4">
        <v>35</v>
      </c>
      <c r="D85" s="8">
        <v>1.68</v>
      </c>
      <c r="E85" s="4">
        <v>32</v>
      </c>
      <c r="F85" s="8">
        <v>4.3099999999999996</v>
      </c>
      <c r="G85" s="4">
        <v>3</v>
      </c>
      <c r="H85" s="8">
        <v>0.22</v>
      </c>
      <c r="I85" s="4">
        <v>0</v>
      </c>
    </row>
    <row r="86" spans="1:9" x14ac:dyDescent="0.2">
      <c r="A86" s="2">
        <v>17</v>
      </c>
      <c r="B86" s="1" t="s">
        <v>154</v>
      </c>
      <c r="C86" s="4">
        <v>33</v>
      </c>
      <c r="D86" s="8">
        <v>1.59</v>
      </c>
      <c r="E86" s="4">
        <v>21</v>
      </c>
      <c r="F86" s="8">
        <v>2.83</v>
      </c>
      <c r="G86" s="4">
        <v>12</v>
      </c>
      <c r="H86" s="8">
        <v>0.9</v>
      </c>
      <c r="I86" s="4">
        <v>0</v>
      </c>
    </row>
    <row r="87" spans="1:9" x14ac:dyDescent="0.2">
      <c r="A87" s="2">
        <v>18</v>
      </c>
      <c r="B87" s="1" t="s">
        <v>174</v>
      </c>
      <c r="C87" s="4">
        <v>32</v>
      </c>
      <c r="D87" s="8">
        <v>1.54</v>
      </c>
      <c r="E87" s="4">
        <v>5</v>
      </c>
      <c r="F87" s="8">
        <v>0.67</v>
      </c>
      <c r="G87" s="4">
        <v>27</v>
      </c>
      <c r="H87" s="8">
        <v>2.02</v>
      </c>
      <c r="I87" s="4">
        <v>0</v>
      </c>
    </row>
    <row r="88" spans="1:9" x14ac:dyDescent="0.2">
      <c r="A88" s="2">
        <v>19</v>
      </c>
      <c r="B88" s="1" t="s">
        <v>171</v>
      </c>
      <c r="C88" s="4">
        <v>31</v>
      </c>
      <c r="D88" s="8">
        <v>1.49</v>
      </c>
      <c r="E88" s="4">
        <v>0</v>
      </c>
      <c r="F88" s="8">
        <v>0</v>
      </c>
      <c r="G88" s="4">
        <v>31</v>
      </c>
      <c r="H88" s="8">
        <v>2.3199999999999998</v>
      </c>
      <c r="I88" s="4">
        <v>0</v>
      </c>
    </row>
    <row r="89" spans="1:9" x14ac:dyDescent="0.2">
      <c r="A89" s="2">
        <v>19</v>
      </c>
      <c r="B89" s="1" t="s">
        <v>159</v>
      </c>
      <c r="C89" s="4">
        <v>31</v>
      </c>
      <c r="D89" s="8">
        <v>1.49</v>
      </c>
      <c r="E89" s="4">
        <v>0</v>
      </c>
      <c r="F89" s="8">
        <v>0</v>
      </c>
      <c r="G89" s="4">
        <v>31</v>
      </c>
      <c r="H89" s="8">
        <v>2.3199999999999998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158</v>
      </c>
      <c r="C92" s="4">
        <v>163</v>
      </c>
      <c r="D92" s="8">
        <v>7.98</v>
      </c>
      <c r="E92" s="4">
        <v>80</v>
      </c>
      <c r="F92" s="8">
        <v>11.33</v>
      </c>
      <c r="G92" s="4">
        <v>83</v>
      </c>
      <c r="H92" s="8">
        <v>6.21</v>
      </c>
      <c r="I92" s="4">
        <v>0</v>
      </c>
    </row>
    <row r="93" spans="1:9" x14ac:dyDescent="0.2">
      <c r="A93" s="2">
        <v>2</v>
      </c>
      <c r="B93" s="1" t="s">
        <v>164</v>
      </c>
      <c r="C93" s="4">
        <v>97</v>
      </c>
      <c r="D93" s="8">
        <v>4.75</v>
      </c>
      <c r="E93" s="4">
        <v>74</v>
      </c>
      <c r="F93" s="8">
        <v>10.48</v>
      </c>
      <c r="G93" s="4">
        <v>23</v>
      </c>
      <c r="H93" s="8">
        <v>1.72</v>
      </c>
      <c r="I93" s="4">
        <v>0</v>
      </c>
    </row>
    <row r="94" spans="1:9" x14ac:dyDescent="0.2">
      <c r="A94" s="2">
        <v>3</v>
      </c>
      <c r="B94" s="1" t="s">
        <v>166</v>
      </c>
      <c r="C94" s="4">
        <v>72</v>
      </c>
      <c r="D94" s="8">
        <v>3.53</v>
      </c>
      <c r="E94" s="4">
        <v>59</v>
      </c>
      <c r="F94" s="8">
        <v>8.36</v>
      </c>
      <c r="G94" s="4">
        <v>13</v>
      </c>
      <c r="H94" s="8">
        <v>0.97</v>
      </c>
      <c r="I94" s="4">
        <v>0</v>
      </c>
    </row>
    <row r="95" spans="1:9" x14ac:dyDescent="0.2">
      <c r="A95" s="2">
        <v>4</v>
      </c>
      <c r="B95" s="1" t="s">
        <v>163</v>
      </c>
      <c r="C95" s="4">
        <v>62</v>
      </c>
      <c r="D95" s="8">
        <v>3.04</v>
      </c>
      <c r="E95" s="4">
        <v>57</v>
      </c>
      <c r="F95" s="8">
        <v>8.07</v>
      </c>
      <c r="G95" s="4">
        <v>5</v>
      </c>
      <c r="H95" s="8">
        <v>0.37</v>
      </c>
      <c r="I95" s="4">
        <v>0</v>
      </c>
    </row>
    <row r="96" spans="1:9" x14ac:dyDescent="0.2">
      <c r="A96" s="2">
        <v>5</v>
      </c>
      <c r="B96" s="1" t="s">
        <v>159</v>
      </c>
      <c r="C96" s="4">
        <v>45</v>
      </c>
      <c r="D96" s="8">
        <v>2.2000000000000002</v>
      </c>
      <c r="E96" s="4">
        <v>0</v>
      </c>
      <c r="F96" s="8">
        <v>0</v>
      </c>
      <c r="G96" s="4">
        <v>45</v>
      </c>
      <c r="H96" s="8">
        <v>3.37</v>
      </c>
      <c r="I96" s="4">
        <v>0</v>
      </c>
    </row>
    <row r="97" spans="1:9" x14ac:dyDescent="0.2">
      <c r="A97" s="2">
        <v>5</v>
      </c>
      <c r="B97" s="1" t="s">
        <v>161</v>
      </c>
      <c r="C97" s="4">
        <v>45</v>
      </c>
      <c r="D97" s="8">
        <v>2.2000000000000002</v>
      </c>
      <c r="E97" s="4">
        <v>33</v>
      </c>
      <c r="F97" s="8">
        <v>4.67</v>
      </c>
      <c r="G97" s="4">
        <v>12</v>
      </c>
      <c r="H97" s="8">
        <v>0.9</v>
      </c>
      <c r="I97" s="4">
        <v>0</v>
      </c>
    </row>
    <row r="98" spans="1:9" x14ac:dyDescent="0.2">
      <c r="A98" s="2">
        <v>5</v>
      </c>
      <c r="B98" s="1" t="s">
        <v>165</v>
      </c>
      <c r="C98" s="4">
        <v>45</v>
      </c>
      <c r="D98" s="8">
        <v>2.2000000000000002</v>
      </c>
      <c r="E98" s="4">
        <v>27</v>
      </c>
      <c r="F98" s="8">
        <v>3.82</v>
      </c>
      <c r="G98" s="4">
        <v>18</v>
      </c>
      <c r="H98" s="8">
        <v>1.35</v>
      </c>
      <c r="I98" s="4">
        <v>0</v>
      </c>
    </row>
    <row r="99" spans="1:9" x14ac:dyDescent="0.2">
      <c r="A99" s="2">
        <v>8</v>
      </c>
      <c r="B99" s="1" t="s">
        <v>162</v>
      </c>
      <c r="C99" s="4">
        <v>44</v>
      </c>
      <c r="D99" s="8">
        <v>2.15</v>
      </c>
      <c r="E99" s="4">
        <v>36</v>
      </c>
      <c r="F99" s="8">
        <v>5.0999999999999996</v>
      </c>
      <c r="G99" s="4">
        <v>8</v>
      </c>
      <c r="H99" s="8">
        <v>0.6</v>
      </c>
      <c r="I99" s="4">
        <v>0</v>
      </c>
    </row>
    <row r="100" spans="1:9" x14ac:dyDescent="0.2">
      <c r="A100" s="2">
        <v>9</v>
      </c>
      <c r="B100" s="1" t="s">
        <v>153</v>
      </c>
      <c r="C100" s="4">
        <v>43</v>
      </c>
      <c r="D100" s="8">
        <v>2.11</v>
      </c>
      <c r="E100" s="4">
        <v>2</v>
      </c>
      <c r="F100" s="8">
        <v>0.28000000000000003</v>
      </c>
      <c r="G100" s="4">
        <v>41</v>
      </c>
      <c r="H100" s="8">
        <v>3.07</v>
      </c>
      <c r="I100" s="4">
        <v>0</v>
      </c>
    </row>
    <row r="101" spans="1:9" x14ac:dyDescent="0.2">
      <c r="A101" s="2">
        <v>10</v>
      </c>
      <c r="B101" s="1" t="s">
        <v>160</v>
      </c>
      <c r="C101" s="4">
        <v>40</v>
      </c>
      <c r="D101" s="8">
        <v>1.96</v>
      </c>
      <c r="E101" s="4">
        <v>5</v>
      </c>
      <c r="F101" s="8">
        <v>0.71</v>
      </c>
      <c r="G101" s="4">
        <v>35</v>
      </c>
      <c r="H101" s="8">
        <v>2.62</v>
      </c>
      <c r="I101" s="4">
        <v>0</v>
      </c>
    </row>
    <row r="102" spans="1:9" x14ac:dyDescent="0.2">
      <c r="A102" s="2">
        <v>11</v>
      </c>
      <c r="B102" s="1" t="s">
        <v>170</v>
      </c>
      <c r="C102" s="4">
        <v>35</v>
      </c>
      <c r="D102" s="8">
        <v>1.71</v>
      </c>
      <c r="E102" s="4">
        <v>33</v>
      </c>
      <c r="F102" s="8">
        <v>4.67</v>
      </c>
      <c r="G102" s="4">
        <v>2</v>
      </c>
      <c r="H102" s="8">
        <v>0.15</v>
      </c>
      <c r="I102" s="4">
        <v>0</v>
      </c>
    </row>
    <row r="103" spans="1:9" x14ac:dyDescent="0.2">
      <c r="A103" s="2">
        <v>12</v>
      </c>
      <c r="B103" s="1" t="s">
        <v>157</v>
      </c>
      <c r="C103" s="4">
        <v>34</v>
      </c>
      <c r="D103" s="8">
        <v>1.67</v>
      </c>
      <c r="E103" s="4">
        <v>3</v>
      </c>
      <c r="F103" s="8">
        <v>0.42</v>
      </c>
      <c r="G103" s="4">
        <v>31</v>
      </c>
      <c r="H103" s="8">
        <v>2.3199999999999998</v>
      </c>
      <c r="I103" s="4">
        <v>0</v>
      </c>
    </row>
    <row r="104" spans="1:9" x14ac:dyDescent="0.2">
      <c r="A104" s="2">
        <v>13</v>
      </c>
      <c r="B104" s="1" t="s">
        <v>156</v>
      </c>
      <c r="C104" s="4">
        <v>30</v>
      </c>
      <c r="D104" s="8">
        <v>1.47</v>
      </c>
      <c r="E104" s="4">
        <v>11</v>
      </c>
      <c r="F104" s="8">
        <v>1.56</v>
      </c>
      <c r="G104" s="4">
        <v>19</v>
      </c>
      <c r="H104" s="8">
        <v>1.42</v>
      </c>
      <c r="I104" s="4">
        <v>0</v>
      </c>
    </row>
    <row r="105" spans="1:9" x14ac:dyDescent="0.2">
      <c r="A105" s="2">
        <v>13</v>
      </c>
      <c r="B105" s="1" t="s">
        <v>169</v>
      </c>
      <c r="C105" s="4">
        <v>30</v>
      </c>
      <c r="D105" s="8">
        <v>1.47</v>
      </c>
      <c r="E105" s="4">
        <v>15</v>
      </c>
      <c r="F105" s="8">
        <v>2.12</v>
      </c>
      <c r="G105" s="4">
        <v>15</v>
      </c>
      <c r="H105" s="8">
        <v>1.1200000000000001</v>
      </c>
      <c r="I105" s="4">
        <v>0</v>
      </c>
    </row>
    <row r="106" spans="1:9" x14ac:dyDescent="0.2">
      <c r="A106" s="2">
        <v>15</v>
      </c>
      <c r="B106" s="1" t="s">
        <v>155</v>
      </c>
      <c r="C106" s="4">
        <v>29</v>
      </c>
      <c r="D106" s="8">
        <v>1.42</v>
      </c>
      <c r="E106" s="4">
        <v>4</v>
      </c>
      <c r="F106" s="8">
        <v>0.56999999999999995</v>
      </c>
      <c r="G106" s="4">
        <v>25</v>
      </c>
      <c r="H106" s="8">
        <v>1.87</v>
      </c>
      <c r="I106" s="4">
        <v>0</v>
      </c>
    </row>
    <row r="107" spans="1:9" x14ac:dyDescent="0.2">
      <c r="A107" s="2">
        <v>15</v>
      </c>
      <c r="B107" s="1" t="s">
        <v>168</v>
      </c>
      <c r="C107" s="4">
        <v>29</v>
      </c>
      <c r="D107" s="8">
        <v>1.42</v>
      </c>
      <c r="E107" s="4">
        <v>3</v>
      </c>
      <c r="F107" s="8">
        <v>0.42</v>
      </c>
      <c r="G107" s="4">
        <v>26</v>
      </c>
      <c r="H107" s="8">
        <v>1.95</v>
      </c>
      <c r="I107" s="4">
        <v>0</v>
      </c>
    </row>
    <row r="108" spans="1:9" x14ac:dyDescent="0.2">
      <c r="A108" s="2">
        <v>15</v>
      </c>
      <c r="B108" s="1" t="s">
        <v>171</v>
      </c>
      <c r="C108" s="4">
        <v>29</v>
      </c>
      <c r="D108" s="8">
        <v>1.42</v>
      </c>
      <c r="E108" s="4">
        <v>4</v>
      </c>
      <c r="F108" s="8">
        <v>0.56999999999999995</v>
      </c>
      <c r="G108" s="4">
        <v>25</v>
      </c>
      <c r="H108" s="8">
        <v>1.87</v>
      </c>
      <c r="I108" s="4">
        <v>0</v>
      </c>
    </row>
    <row r="109" spans="1:9" x14ac:dyDescent="0.2">
      <c r="A109" s="2">
        <v>18</v>
      </c>
      <c r="B109" s="1" t="s">
        <v>151</v>
      </c>
      <c r="C109" s="4">
        <v>28</v>
      </c>
      <c r="D109" s="8">
        <v>1.37</v>
      </c>
      <c r="E109" s="4">
        <v>1</v>
      </c>
      <c r="F109" s="8">
        <v>0.14000000000000001</v>
      </c>
      <c r="G109" s="4">
        <v>27</v>
      </c>
      <c r="H109" s="8">
        <v>2.02</v>
      </c>
      <c r="I109" s="4">
        <v>0</v>
      </c>
    </row>
    <row r="110" spans="1:9" x14ac:dyDescent="0.2">
      <c r="A110" s="2">
        <v>19</v>
      </c>
      <c r="B110" s="1" t="s">
        <v>148</v>
      </c>
      <c r="C110" s="4">
        <v>27</v>
      </c>
      <c r="D110" s="8">
        <v>1.32</v>
      </c>
      <c r="E110" s="4">
        <v>1</v>
      </c>
      <c r="F110" s="8">
        <v>0.14000000000000001</v>
      </c>
      <c r="G110" s="4">
        <v>26</v>
      </c>
      <c r="H110" s="8">
        <v>1.95</v>
      </c>
      <c r="I110" s="4">
        <v>0</v>
      </c>
    </row>
    <row r="111" spans="1:9" x14ac:dyDescent="0.2">
      <c r="A111" s="2">
        <v>19</v>
      </c>
      <c r="B111" s="1" t="s">
        <v>154</v>
      </c>
      <c r="C111" s="4">
        <v>27</v>
      </c>
      <c r="D111" s="8">
        <v>1.32</v>
      </c>
      <c r="E111" s="4">
        <v>15</v>
      </c>
      <c r="F111" s="8">
        <v>2.12</v>
      </c>
      <c r="G111" s="4">
        <v>12</v>
      </c>
      <c r="H111" s="8">
        <v>0.9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164</v>
      </c>
      <c r="C114" s="4">
        <v>112</v>
      </c>
      <c r="D114" s="8">
        <v>5.16</v>
      </c>
      <c r="E114" s="4">
        <v>97</v>
      </c>
      <c r="F114" s="8">
        <v>14.24</v>
      </c>
      <c r="G114" s="4">
        <v>15</v>
      </c>
      <c r="H114" s="8">
        <v>1.01</v>
      </c>
      <c r="I114" s="4">
        <v>0</v>
      </c>
    </row>
    <row r="115" spans="1:9" x14ac:dyDescent="0.2">
      <c r="A115" s="2">
        <v>2</v>
      </c>
      <c r="B115" s="1" t="s">
        <v>163</v>
      </c>
      <c r="C115" s="4">
        <v>89</v>
      </c>
      <c r="D115" s="8">
        <v>4.0999999999999996</v>
      </c>
      <c r="E115" s="4">
        <v>84</v>
      </c>
      <c r="F115" s="8">
        <v>12.33</v>
      </c>
      <c r="G115" s="4">
        <v>5</v>
      </c>
      <c r="H115" s="8">
        <v>0.34</v>
      </c>
      <c r="I115" s="4">
        <v>0</v>
      </c>
    </row>
    <row r="116" spans="1:9" x14ac:dyDescent="0.2">
      <c r="A116" s="2">
        <v>3</v>
      </c>
      <c r="B116" s="1" t="s">
        <v>153</v>
      </c>
      <c r="C116" s="4">
        <v>67</v>
      </c>
      <c r="D116" s="8">
        <v>3.09</v>
      </c>
      <c r="E116" s="4">
        <v>2</v>
      </c>
      <c r="F116" s="8">
        <v>0.28999999999999998</v>
      </c>
      <c r="G116" s="4">
        <v>65</v>
      </c>
      <c r="H116" s="8">
        <v>4.38</v>
      </c>
      <c r="I116" s="4">
        <v>0</v>
      </c>
    </row>
    <row r="117" spans="1:9" x14ac:dyDescent="0.2">
      <c r="A117" s="2">
        <v>4</v>
      </c>
      <c r="B117" s="1" t="s">
        <v>152</v>
      </c>
      <c r="C117" s="4">
        <v>65</v>
      </c>
      <c r="D117" s="8">
        <v>3</v>
      </c>
      <c r="E117" s="4">
        <v>3</v>
      </c>
      <c r="F117" s="8">
        <v>0.44</v>
      </c>
      <c r="G117" s="4">
        <v>62</v>
      </c>
      <c r="H117" s="8">
        <v>4.18</v>
      </c>
      <c r="I117" s="4">
        <v>0</v>
      </c>
    </row>
    <row r="118" spans="1:9" x14ac:dyDescent="0.2">
      <c r="A118" s="2">
        <v>5</v>
      </c>
      <c r="B118" s="1" t="s">
        <v>158</v>
      </c>
      <c r="C118" s="4">
        <v>57</v>
      </c>
      <c r="D118" s="8">
        <v>2.63</v>
      </c>
      <c r="E118" s="4">
        <v>4</v>
      </c>
      <c r="F118" s="8">
        <v>0.59</v>
      </c>
      <c r="G118" s="4">
        <v>53</v>
      </c>
      <c r="H118" s="8">
        <v>3.57</v>
      </c>
      <c r="I118" s="4">
        <v>0</v>
      </c>
    </row>
    <row r="119" spans="1:9" x14ac:dyDescent="0.2">
      <c r="A119" s="2">
        <v>6</v>
      </c>
      <c r="B119" s="1" t="s">
        <v>148</v>
      </c>
      <c r="C119" s="4">
        <v>54</v>
      </c>
      <c r="D119" s="8">
        <v>2.4900000000000002</v>
      </c>
      <c r="E119" s="4">
        <v>1</v>
      </c>
      <c r="F119" s="8">
        <v>0.15</v>
      </c>
      <c r="G119" s="4">
        <v>53</v>
      </c>
      <c r="H119" s="8">
        <v>3.57</v>
      </c>
      <c r="I119" s="4">
        <v>0</v>
      </c>
    </row>
    <row r="120" spans="1:9" x14ac:dyDescent="0.2">
      <c r="A120" s="2">
        <v>6</v>
      </c>
      <c r="B120" s="1" t="s">
        <v>151</v>
      </c>
      <c r="C120" s="4">
        <v>54</v>
      </c>
      <c r="D120" s="8">
        <v>2.4900000000000002</v>
      </c>
      <c r="E120" s="4">
        <v>2</v>
      </c>
      <c r="F120" s="8">
        <v>0.28999999999999998</v>
      </c>
      <c r="G120" s="4">
        <v>52</v>
      </c>
      <c r="H120" s="8">
        <v>3.5</v>
      </c>
      <c r="I120" s="4">
        <v>0</v>
      </c>
    </row>
    <row r="121" spans="1:9" x14ac:dyDescent="0.2">
      <c r="A121" s="2">
        <v>8</v>
      </c>
      <c r="B121" s="1" t="s">
        <v>155</v>
      </c>
      <c r="C121" s="4">
        <v>52</v>
      </c>
      <c r="D121" s="8">
        <v>2.4</v>
      </c>
      <c r="E121" s="4">
        <v>10</v>
      </c>
      <c r="F121" s="8">
        <v>1.47</v>
      </c>
      <c r="G121" s="4">
        <v>42</v>
      </c>
      <c r="H121" s="8">
        <v>2.83</v>
      </c>
      <c r="I121" s="4">
        <v>0</v>
      </c>
    </row>
    <row r="122" spans="1:9" x14ac:dyDescent="0.2">
      <c r="A122" s="2">
        <v>9</v>
      </c>
      <c r="B122" s="1" t="s">
        <v>162</v>
      </c>
      <c r="C122" s="4">
        <v>51</v>
      </c>
      <c r="D122" s="8">
        <v>2.35</v>
      </c>
      <c r="E122" s="4">
        <v>42</v>
      </c>
      <c r="F122" s="8">
        <v>6.17</v>
      </c>
      <c r="G122" s="4">
        <v>9</v>
      </c>
      <c r="H122" s="8">
        <v>0.61</v>
      </c>
      <c r="I122" s="4">
        <v>0</v>
      </c>
    </row>
    <row r="123" spans="1:9" x14ac:dyDescent="0.2">
      <c r="A123" s="2">
        <v>10</v>
      </c>
      <c r="B123" s="1" t="s">
        <v>167</v>
      </c>
      <c r="C123" s="4">
        <v>47</v>
      </c>
      <c r="D123" s="8">
        <v>2.17</v>
      </c>
      <c r="E123" s="4">
        <v>22</v>
      </c>
      <c r="F123" s="8">
        <v>3.23</v>
      </c>
      <c r="G123" s="4">
        <v>25</v>
      </c>
      <c r="H123" s="8">
        <v>1.68</v>
      </c>
      <c r="I123" s="4">
        <v>0</v>
      </c>
    </row>
    <row r="124" spans="1:9" x14ac:dyDescent="0.2">
      <c r="A124" s="2">
        <v>11</v>
      </c>
      <c r="B124" s="1" t="s">
        <v>161</v>
      </c>
      <c r="C124" s="4">
        <v>45</v>
      </c>
      <c r="D124" s="8">
        <v>2.0699999999999998</v>
      </c>
      <c r="E124" s="4">
        <v>30</v>
      </c>
      <c r="F124" s="8">
        <v>4.41</v>
      </c>
      <c r="G124" s="4">
        <v>15</v>
      </c>
      <c r="H124" s="8">
        <v>1.01</v>
      </c>
      <c r="I124" s="4">
        <v>0</v>
      </c>
    </row>
    <row r="125" spans="1:9" x14ac:dyDescent="0.2">
      <c r="A125" s="2">
        <v>12</v>
      </c>
      <c r="B125" s="1" t="s">
        <v>174</v>
      </c>
      <c r="C125" s="4">
        <v>43</v>
      </c>
      <c r="D125" s="8">
        <v>1.98</v>
      </c>
      <c r="E125" s="4">
        <v>5</v>
      </c>
      <c r="F125" s="8">
        <v>0.73</v>
      </c>
      <c r="G125" s="4">
        <v>38</v>
      </c>
      <c r="H125" s="8">
        <v>2.56</v>
      </c>
      <c r="I125" s="4">
        <v>0</v>
      </c>
    </row>
    <row r="126" spans="1:9" x14ac:dyDescent="0.2">
      <c r="A126" s="2">
        <v>13</v>
      </c>
      <c r="B126" s="1" t="s">
        <v>166</v>
      </c>
      <c r="C126" s="4">
        <v>42</v>
      </c>
      <c r="D126" s="8">
        <v>1.94</v>
      </c>
      <c r="E126" s="4">
        <v>37</v>
      </c>
      <c r="F126" s="8">
        <v>5.43</v>
      </c>
      <c r="G126" s="4">
        <v>5</v>
      </c>
      <c r="H126" s="8">
        <v>0.34</v>
      </c>
      <c r="I126" s="4">
        <v>0</v>
      </c>
    </row>
    <row r="127" spans="1:9" x14ac:dyDescent="0.2">
      <c r="A127" s="2">
        <v>14</v>
      </c>
      <c r="B127" s="1" t="s">
        <v>156</v>
      </c>
      <c r="C127" s="4">
        <v>37</v>
      </c>
      <c r="D127" s="8">
        <v>1.71</v>
      </c>
      <c r="E127" s="4">
        <v>15</v>
      </c>
      <c r="F127" s="8">
        <v>2.2000000000000002</v>
      </c>
      <c r="G127" s="4">
        <v>22</v>
      </c>
      <c r="H127" s="8">
        <v>1.48</v>
      </c>
      <c r="I127" s="4">
        <v>0</v>
      </c>
    </row>
    <row r="128" spans="1:9" x14ac:dyDescent="0.2">
      <c r="A128" s="2">
        <v>15</v>
      </c>
      <c r="B128" s="1" t="s">
        <v>149</v>
      </c>
      <c r="C128" s="4">
        <v>36</v>
      </c>
      <c r="D128" s="8">
        <v>1.66</v>
      </c>
      <c r="E128" s="4">
        <v>0</v>
      </c>
      <c r="F128" s="8">
        <v>0</v>
      </c>
      <c r="G128" s="4">
        <v>36</v>
      </c>
      <c r="H128" s="8">
        <v>2.42</v>
      </c>
      <c r="I128" s="4">
        <v>0</v>
      </c>
    </row>
    <row r="129" spans="1:9" x14ac:dyDescent="0.2">
      <c r="A129" s="2">
        <v>15</v>
      </c>
      <c r="B129" s="1" t="s">
        <v>176</v>
      </c>
      <c r="C129" s="4">
        <v>36</v>
      </c>
      <c r="D129" s="8">
        <v>1.66</v>
      </c>
      <c r="E129" s="4">
        <v>6</v>
      </c>
      <c r="F129" s="8">
        <v>0.88</v>
      </c>
      <c r="G129" s="4">
        <v>30</v>
      </c>
      <c r="H129" s="8">
        <v>2.02</v>
      </c>
      <c r="I129" s="4">
        <v>0</v>
      </c>
    </row>
    <row r="130" spans="1:9" x14ac:dyDescent="0.2">
      <c r="A130" s="2">
        <v>17</v>
      </c>
      <c r="B130" s="1" t="s">
        <v>157</v>
      </c>
      <c r="C130" s="4">
        <v>35</v>
      </c>
      <c r="D130" s="8">
        <v>1.61</v>
      </c>
      <c r="E130" s="4">
        <v>0</v>
      </c>
      <c r="F130" s="8">
        <v>0</v>
      </c>
      <c r="G130" s="4">
        <v>35</v>
      </c>
      <c r="H130" s="8">
        <v>2.36</v>
      </c>
      <c r="I130" s="4">
        <v>0</v>
      </c>
    </row>
    <row r="131" spans="1:9" x14ac:dyDescent="0.2">
      <c r="A131" s="2">
        <v>18</v>
      </c>
      <c r="B131" s="1" t="s">
        <v>175</v>
      </c>
      <c r="C131" s="4">
        <v>34</v>
      </c>
      <c r="D131" s="8">
        <v>1.57</v>
      </c>
      <c r="E131" s="4">
        <v>0</v>
      </c>
      <c r="F131" s="8">
        <v>0</v>
      </c>
      <c r="G131" s="4">
        <v>34</v>
      </c>
      <c r="H131" s="8">
        <v>2.29</v>
      </c>
      <c r="I131" s="4">
        <v>0</v>
      </c>
    </row>
    <row r="132" spans="1:9" x14ac:dyDescent="0.2">
      <c r="A132" s="2">
        <v>19</v>
      </c>
      <c r="B132" s="1" t="s">
        <v>169</v>
      </c>
      <c r="C132" s="4">
        <v>30</v>
      </c>
      <c r="D132" s="8">
        <v>1.38</v>
      </c>
      <c r="E132" s="4">
        <v>9</v>
      </c>
      <c r="F132" s="8">
        <v>1.32</v>
      </c>
      <c r="G132" s="4">
        <v>21</v>
      </c>
      <c r="H132" s="8">
        <v>1.41</v>
      </c>
      <c r="I132" s="4">
        <v>0</v>
      </c>
    </row>
    <row r="133" spans="1:9" x14ac:dyDescent="0.2">
      <c r="A133" s="2">
        <v>19</v>
      </c>
      <c r="B133" s="1" t="s">
        <v>165</v>
      </c>
      <c r="C133" s="4">
        <v>30</v>
      </c>
      <c r="D133" s="8">
        <v>1.38</v>
      </c>
      <c r="E133" s="4">
        <v>19</v>
      </c>
      <c r="F133" s="8">
        <v>2.79</v>
      </c>
      <c r="G133" s="4">
        <v>11</v>
      </c>
      <c r="H133" s="8">
        <v>0.74</v>
      </c>
      <c r="I133" s="4">
        <v>0</v>
      </c>
    </row>
    <row r="134" spans="1:9" x14ac:dyDescent="0.2">
      <c r="A134" s="1"/>
      <c r="C134" s="4"/>
      <c r="D134" s="8"/>
      <c r="E134" s="4"/>
      <c r="F134" s="8"/>
      <c r="G134" s="4"/>
      <c r="H134" s="8"/>
      <c r="I134" s="4"/>
    </row>
    <row r="135" spans="1:9" x14ac:dyDescent="0.2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2">
      <c r="A136" s="2">
        <v>1</v>
      </c>
      <c r="B136" s="1" t="s">
        <v>164</v>
      </c>
      <c r="C136" s="4">
        <v>96</v>
      </c>
      <c r="D136" s="8">
        <v>8.11</v>
      </c>
      <c r="E136" s="4">
        <v>76</v>
      </c>
      <c r="F136" s="8">
        <v>17.97</v>
      </c>
      <c r="G136" s="4">
        <v>20</v>
      </c>
      <c r="H136" s="8">
        <v>2.64</v>
      </c>
      <c r="I136" s="4">
        <v>0</v>
      </c>
    </row>
    <row r="137" spans="1:9" x14ac:dyDescent="0.2">
      <c r="A137" s="2">
        <v>2</v>
      </c>
      <c r="B137" s="1" t="s">
        <v>163</v>
      </c>
      <c r="C137" s="4">
        <v>54</v>
      </c>
      <c r="D137" s="8">
        <v>4.5599999999999996</v>
      </c>
      <c r="E137" s="4">
        <v>44</v>
      </c>
      <c r="F137" s="8">
        <v>10.4</v>
      </c>
      <c r="G137" s="4">
        <v>10</v>
      </c>
      <c r="H137" s="8">
        <v>1.32</v>
      </c>
      <c r="I137" s="4">
        <v>0</v>
      </c>
    </row>
    <row r="138" spans="1:9" x14ac:dyDescent="0.2">
      <c r="A138" s="2">
        <v>3</v>
      </c>
      <c r="B138" s="1" t="s">
        <v>165</v>
      </c>
      <c r="C138" s="4">
        <v>48</v>
      </c>
      <c r="D138" s="8">
        <v>4.05</v>
      </c>
      <c r="E138" s="4">
        <v>30</v>
      </c>
      <c r="F138" s="8">
        <v>7.09</v>
      </c>
      <c r="G138" s="4">
        <v>18</v>
      </c>
      <c r="H138" s="8">
        <v>2.37</v>
      </c>
      <c r="I138" s="4">
        <v>0</v>
      </c>
    </row>
    <row r="139" spans="1:9" x14ac:dyDescent="0.2">
      <c r="A139" s="2">
        <v>4</v>
      </c>
      <c r="B139" s="1" t="s">
        <v>166</v>
      </c>
      <c r="C139" s="4">
        <v>45</v>
      </c>
      <c r="D139" s="8">
        <v>3.8</v>
      </c>
      <c r="E139" s="4">
        <v>33</v>
      </c>
      <c r="F139" s="8">
        <v>7.8</v>
      </c>
      <c r="G139" s="4">
        <v>12</v>
      </c>
      <c r="H139" s="8">
        <v>1.58</v>
      </c>
      <c r="I139" s="4">
        <v>0</v>
      </c>
    </row>
    <row r="140" spans="1:9" x14ac:dyDescent="0.2">
      <c r="A140" s="2">
        <v>5</v>
      </c>
      <c r="B140" s="1" t="s">
        <v>158</v>
      </c>
      <c r="C140" s="4">
        <v>34</v>
      </c>
      <c r="D140" s="8">
        <v>2.87</v>
      </c>
      <c r="E140" s="4">
        <v>4</v>
      </c>
      <c r="F140" s="8">
        <v>0.95</v>
      </c>
      <c r="G140" s="4">
        <v>30</v>
      </c>
      <c r="H140" s="8">
        <v>3.95</v>
      </c>
      <c r="I140" s="4">
        <v>0</v>
      </c>
    </row>
    <row r="141" spans="1:9" x14ac:dyDescent="0.2">
      <c r="A141" s="2">
        <v>6</v>
      </c>
      <c r="B141" s="1" t="s">
        <v>180</v>
      </c>
      <c r="C141" s="4">
        <v>32</v>
      </c>
      <c r="D141" s="8">
        <v>2.7</v>
      </c>
      <c r="E141" s="4">
        <v>17</v>
      </c>
      <c r="F141" s="8">
        <v>4.0199999999999996</v>
      </c>
      <c r="G141" s="4">
        <v>15</v>
      </c>
      <c r="H141" s="8">
        <v>1.98</v>
      </c>
      <c r="I141" s="4">
        <v>0</v>
      </c>
    </row>
    <row r="142" spans="1:9" x14ac:dyDescent="0.2">
      <c r="A142" s="2">
        <v>7</v>
      </c>
      <c r="B142" s="1" t="s">
        <v>152</v>
      </c>
      <c r="C142" s="4">
        <v>24</v>
      </c>
      <c r="D142" s="8">
        <v>2.0299999999999998</v>
      </c>
      <c r="E142" s="4">
        <v>4</v>
      </c>
      <c r="F142" s="8">
        <v>0.95</v>
      </c>
      <c r="G142" s="4">
        <v>20</v>
      </c>
      <c r="H142" s="8">
        <v>2.64</v>
      </c>
      <c r="I142" s="4">
        <v>0</v>
      </c>
    </row>
    <row r="143" spans="1:9" x14ac:dyDescent="0.2">
      <c r="A143" s="2">
        <v>8</v>
      </c>
      <c r="B143" s="1" t="s">
        <v>148</v>
      </c>
      <c r="C143" s="4">
        <v>23</v>
      </c>
      <c r="D143" s="8">
        <v>1.94</v>
      </c>
      <c r="E143" s="4">
        <v>0</v>
      </c>
      <c r="F143" s="8">
        <v>0</v>
      </c>
      <c r="G143" s="4">
        <v>23</v>
      </c>
      <c r="H143" s="8">
        <v>3.03</v>
      </c>
      <c r="I143" s="4">
        <v>0</v>
      </c>
    </row>
    <row r="144" spans="1:9" x14ac:dyDescent="0.2">
      <c r="A144" s="2">
        <v>9</v>
      </c>
      <c r="B144" s="1" t="s">
        <v>150</v>
      </c>
      <c r="C144" s="4">
        <v>22</v>
      </c>
      <c r="D144" s="8">
        <v>1.86</v>
      </c>
      <c r="E144" s="4">
        <v>3</v>
      </c>
      <c r="F144" s="8">
        <v>0.71</v>
      </c>
      <c r="G144" s="4">
        <v>19</v>
      </c>
      <c r="H144" s="8">
        <v>2.5</v>
      </c>
      <c r="I144" s="4">
        <v>0</v>
      </c>
    </row>
    <row r="145" spans="1:9" x14ac:dyDescent="0.2">
      <c r="A145" s="2">
        <v>10</v>
      </c>
      <c r="B145" s="1" t="s">
        <v>154</v>
      </c>
      <c r="C145" s="4">
        <v>21</v>
      </c>
      <c r="D145" s="8">
        <v>1.77</v>
      </c>
      <c r="E145" s="4">
        <v>9</v>
      </c>
      <c r="F145" s="8">
        <v>2.13</v>
      </c>
      <c r="G145" s="4">
        <v>12</v>
      </c>
      <c r="H145" s="8">
        <v>1.58</v>
      </c>
      <c r="I145" s="4">
        <v>0</v>
      </c>
    </row>
    <row r="146" spans="1:9" x14ac:dyDescent="0.2">
      <c r="A146" s="2">
        <v>10</v>
      </c>
      <c r="B146" s="1" t="s">
        <v>161</v>
      </c>
      <c r="C146" s="4">
        <v>21</v>
      </c>
      <c r="D146" s="8">
        <v>1.77</v>
      </c>
      <c r="E146" s="4">
        <v>16</v>
      </c>
      <c r="F146" s="8">
        <v>3.78</v>
      </c>
      <c r="G146" s="4">
        <v>5</v>
      </c>
      <c r="H146" s="8">
        <v>0.66</v>
      </c>
      <c r="I146" s="4">
        <v>0</v>
      </c>
    </row>
    <row r="147" spans="1:9" x14ac:dyDescent="0.2">
      <c r="A147" s="2">
        <v>12</v>
      </c>
      <c r="B147" s="1" t="s">
        <v>151</v>
      </c>
      <c r="C147" s="4">
        <v>20</v>
      </c>
      <c r="D147" s="8">
        <v>1.69</v>
      </c>
      <c r="E147" s="4">
        <v>0</v>
      </c>
      <c r="F147" s="8">
        <v>0</v>
      </c>
      <c r="G147" s="4">
        <v>20</v>
      </c>
      <c r="H147" s="8">
        <v>2.64</v>
      </c>
      <c r="I147" s="4">
        <v>0</v>
      </c>
    </row>
    <row r="148" spans="1:9" x14ac:dyDescent="0.2">
      <c r="A148" s="2">
        <v>12</v>
      </c>
      <c r="B148" s="1" t="s">
        <v>170</v>
      </c>
      <c r="C148" s="4">
        <v>20</v>
      </c>
      <c r="D148" s="8">
        <v>1.69</v>
      </c>
      <c r="E148" s="4">
        <v>18</v>
      </c>
      <c r="F148" s="8">
        <v>4.26</v>
      </c>
      <c r="G148" s="4">
        <v>2</v>
      </c>
      <c r="H148" s="8">
        <v>0.26</v>
      </c>
      <c r="I148" s="4">
        <v>0</v>
      </c>
    </row>
    <row r="149" spans="1:9" x14ac:dyDescent="0.2">
      <c r="A149" s="2">
        <v>14</v>
      </c>
      <c r="B149" s="1" t="s">
        <v>168</v>
      </c>
      <c r="C149" s="4">
        <v>19</v>
      </c>
      <c r="D149" s="8">
        <v>1.6</v>
      </c>
      <c r="E149" s="4">
        <v>5</v>
      </c>
      <c r="F149" s="8">
        <v>1.18</v>
      </c>
      <c r="G149" s="4">
        <v>14</v>
      </c>
      <c r="H149" s="8">
        <v>1.84</v>
      </c>
      <c r="I149" s="4">
        <v>0</v>
      </c>
    </row>
    <row r="150" spans="1:9" x14ac:dyDescent="0.2">
      <c r="A150" s="2">
        <v>14</v>
      </c>
      <c r="B150" s="1" t="s">
        <v>157</v>
      </c>
      <c r="C150" s="4">
        <v>19</v>
      </c>
      <c r="D150" s="8">
        <v>1.6</v>
      </c>
      <c r="E150" s="4">
        <v>1</v>
      </c>
      <c r="F150" s="8">
        <v>0.24</v>
      </c>
      <c r="G150" s="4">
        <v>18</v>
      </c>
      <c r="H150" s="8">
        <v>2.37</v>
      </c>
      <c r="I150" s="4">
        <v>0</v>
      </c>
    </row>
    <row r="151" spans="1:9" x14ac:dyDescent="0.2">
      <c r="A151" s="2">
        <v>16</v>
      </c>
      <c r="B151" s="1" t="s">
        <v>153</v>
      </c>
      <c r="C151" s="4">
        <v>18</v>
      </c>
      <c r="D151" s="8">
        <v>1.52</v>
      </c>
      <c r="E151" s="4">
        <v>0</v>
      </c>
      <c r="F151" s="8">
        <v>0</v>
      </c>
      <c r="G151" s="4">
        <v>18</v>
      </c>
      <c r="H151" s="8">
        <v>2.37</v>
      </c>
      <c r="I151" s="4">
        <v>0</v>
      </c>
    </row>
    <row r="152" spans="1:9" x14ac:dyDescent="0.2">
      <c r="A152" s="2">
        <v>16</v>
      </c>
      <c r="B152" s="1" t="s">
        <v>159</v>
      </c>
      <c r="C152" s="4">
        <v>18</v>
      </c>
      <c r="D152" s="8">
        <v>1.52</v>
      </c>
      <c r="E152" s="4">
        <v>0</v>
      </c>
      <c r="F152" s="8">
        <v>0</v>
      </c>
      <c r="G152" s="4">
        <v>18</v>
      </c>
      <c r="H152" s="8">
        <v>2.37</v>
      </c>
      <c r="I152" s="4">
        <v>0</v>
      </c>
    </row>
    <row r="153" spans="1:9" x14ac:dyDescent="0.2">
      <c r="A153" s="2">
        <v>18</v>
      </c>
      <c r="B153" s="1" t="s">
        <v>177</v>
      </c>
      <c r="C153" s="4">
        <v>16</v>
      </c>
      <c r="D153" s="8">
        <v>1.35</v>
      </c>
      <c r="E153" s="4">
        <v>3</v>
      </c>
      <c r="F153" s="8">
        <v>0.71</v>
      </c>
      <c r="G153" s="4">
        <v>13</v>
      </c>
      <c r="H153" s="8">
        <v>1.71</v>
      </c>
      <c r="I153" s="4">
        <v>0</v>
      </c>
    </row>
    <row r="154" spans="1:9" x14ac:dyDescent="0.2">
      <c r="A154" s="2">
        <v>18</v>
      </c>
      <c r="B154" s="1" t="s">
        <v>167</v>
      </c>
      <c r="C154" s="4">
        <v>16</v>
      </c>
      <c r="D154" s="8">
        <v>1.35</v>
      </c>
      <c r="E154" s="4">
        <v>7</v>
      </c>
      <c r="F154" s="8">
        <v>1.65</v>
      </c>
      <c r="G154" s="4">
        <v>9</v>
      </c>
      <c r="H154" s="8">
        <v>1.19</v>
      </c>
      <c r="I154" s="4">
        <v>0</v>
      </c>
    </row>
    <row r="155" spans="1:9" x14ac:dyDescent="0.2">
      <c r="A155" s="2">
        <v>20</v>
      </c>
      <c r="B155" s="1" t="s">
        <v>178</v>
      </c>
      <c r="C155" s="4">
        <v>15</v>
      </c>
      <c r="D155" s="8">
        <v>1.27</v>
      </c>
      <c r="E155" s="4">
        <v>1</v>
      </c>
      <c r="F155" s="8">
        <v>0.24</v>
      </c>
      <c r="G155" s="4">
        <v>14</v>
      </c>
      <c r="H155" s="8">
        <v>1.84</v>
      </c>
      <c r="I155" s="4">
        <v>0</v>
      </c>
    </row>
    <row r="156" spans="1:9" x14ac:dyDescent="0.2">
      <c r="A156" s="2">
        <v>20</v>
      </c>
      <c r="B156" s="1" t="s">
        <v>173</v>
      </c>
      <c r="C156" s="4">
        <v>15</v>
      </c>
      <c r="D156" s="8">
        <v>1.27</v>
      </c>
      <c r="E156" s="4">
        <v>6</v>
      </c>
      <c r="F156" s="8">
        <v>1.42</v>
      </c>
      <c r="G156" s="4">
        <v>9</v>
      </c>
      <c r="H156" s="8">
        <v>1.19</v>
      </c>
      <c r="I156" s="4">
        <v>0</v>
      </c>
    </row>
    <row r="157" spans="1:9" x14ac:dyDescent="0.2">
      <c r="A157" s="2">
        <v>20</v>
      </c>
      <c r="B157" s="1" t="s">
        <v>179</v>
      </c>
      <c r="C157" s="4">
        <v>15</v>
      </c>
      <c r="D157" s="8">
        <v>1.27</v>
      </c>
      <c r="E157" s="4">
        <v>7</v>
      </c>
      <c r="F157" s="8">
        <v>1.65</v>
      </c>
      <c r="G157" s="4">
        <v>8</v>
      </c>
      <c r="H157" s="8">
        <v>1.05</v>
      </c>
      <c r="I157" s="4">
        <v>0</v>
      </c>
    </row>
    <row r="158" spans="1:9" x14ac:dyDescent="0.2">
      <c r="A158" s="2">
        <v>20</v>
      </c>
      <c r="B158" s="1" t="s">
        <v>181</v>
      </c>
      <c r="C158" s="4">
        <v>15</v>
      </c>
      <c r="D158" s="8">
        <v>1.27</v>
      </c>
      <c r="E158" s="4">
        <v>0</v>
      </c>
      <c r="F158" s="8">
        <v>0</v>
      </c>
      <c r="G158" s="4">
        <v>15</v>
      </c>
      <c r="H158" s="8">
        <v>1.98</v>
      </c>
      <c r="I158" s="4">
        <v>0</v>
      </c>
    </row>
    <row r="159" spans="1:9" x14ac:dyDescent="0.2">
      <c r="A159" s="1"/>
      <c r="C159" s="4"/>
      <c r="D159" s="8"/>
      <c r="E159" s="4"/>
      <c r="F159" s="8"/>
      <c r="G159" s="4"/>
      <c r="H159" s="8"/>
      <c r="I159" s="4"/>
    </row>
    <row r="160" spans="1:9" x14ac:dyDescent="0.2">
      <c r="A160" s="1" t="s">
        <v>7</v>
      </c>
      <c r="C160" s="4"/>
      <c r="D160" s="8"/>
      <c r="E160" s="4"/>
      <c r="F160" s="8"/>
      <c r="G160" s="4"/>
      <c r="H160" s="8"/>
      <c r="I160" s="4"/>
    </row>
    <row r="161" spans="1:9" x14ac:dyDescent="0.2">
      <c r="A161" s="2">
        <v>1</v>
      </c>
      <c r="B161" s="1" t="s">
        <v>177</v>
      </c>
      <c r="C161" s="4">
        <v>40</v>
      </c>
      <c r="D161" s="8">
        <v>3.57</v>
      </c>
      <c r="E161" s="4">
        <v>3</v>
      </c>
      <c r="F161" s="8">
        <v>1.66</v>
      </c>
      <c r="G161" s="4">
        <v>37</v>
      </c>
      <c r="H161" s="8">
        <v>3.94</v>
      </c>
      <c r="I161" s="4">
        <v>0</v>
      </c>
    </row>
    <row r="162" spans="1:9" x14ac:dyDescent="0.2">
      <c r="A162" s="2">
        <v>2</v>
      </c>
      <c r="B162" s="1" t="s">
        <v>164</v>
      </c>
      <c r="C162" s="4">
        <v>37</v>
      </c>
      <c r="D162" s="8">
        <v>3.3</v>
      </c>
      <c r="E162" s="4">
        <v>24</v>
      </c>
      <c r="F162" s="8">
        <v>13.26</v>
      </c>
      <c r="G162" s="4">
        <v>13</v>
      </c>
      <c r="H162" s="8">
        <v>1.39</v>
      </c>
      <c r="I162" s="4">
        <v>0</v>
      </c>
    </row>
    <row r="163" spans="1:9" x14ac:dyDescent="0.2">
      <c r="A163" s="2">
        <v>3</v>
      </c>
      <c r="B163" s="1" t="s">
        <v>163</v>
      </c>
      <c r="C163" s="4">
        <v>35</v>
      </c>
      <c r="D163" s="8">
        <v>3.12</v>
      </c>
      <c r="E163" s="4">
        <v>23</v>
      </c>
      <c r="F163" s="8">
        <v>12.71</v>
      </c>
      <c r="G163" s="4">
        <v>12</v>
      </c>
      <c r="H163" s="8">
        <v>1.28</v>
      </c>
      <c r="I163" s="4">
        <v>0</v>
      </c>
    </row>
    <row r="164" spans="1:9" x14ac:dyDescent="0.2">
      <c r="A164" s="2">
        <v>4</v>
      </c>
      <c r="B164" s="1" t="s">
        <v>158</v>
      </c>
      <c r="C164" s="4">
        <v>34</v>
      </c>
      <c r="D164" s="8">
        <v>3.03</v>
      </c>
      <c r="E164" s="4">
        <v>0</v>
      </c>
      <c r="F164" s="8">
        <v>0</v>
      </c>
      <c r="G164" s="4">
        <v>34</v>
      </c>
      <c r="H164" s="8">
        <v>3.62</v>
      </c>
      <c r="I164" s="4">
        <v>0</v>
      </c>
    </row>
    <row r="165" spans="1:9" x14ac:dyDescent="0.2">
      <c r="A165" s="2">
        <v>5</v>
      </c>
      <c r="B165" s="1" t="s">
        <v>165</v>
      </c>
      <c r="C165" s="4">
        <v>32</v>
      </c>
      <c r="D165" s="8">
        <v>2.85</v>
      </c>
      <c r="E165" s="4">
        <v>8</v>
      </c>
      <c r="F165" s="8">
        <v>4.42</v>
      </c>
      <c r="G165" s="4">
        <v>23</v>
      </c>
      <c r="H165" s="8">
        <v>2.4500000000000002</v>
      </c>
      <c r="I165" s="4">
        <v>1</v>
      </c>
    </row>
    <row r="166" spans="1:9" x14ac:dyDescent="0.2">
      <c r="A166" s="2">
        <v>6</v>
      </c>
      <c r="B166" s="1" t="s">
        <v>182</v>
      </c>
      <c r="C166" s="4">
        <v>28</v>
      </c>
      <c r="D166" s="8">
        <v>2.5</v>
      </c>
      <c r="E166" s="4">
        <v>1</v>
      </c>
      <c r="F166" s="8">
        <v>0.55000000000000004</v>
      </c>
      <c r="G166" s="4">
        <v>27</v>
      </c>
      <c r="H166" s="8">
        <v>2.88</v>
      </c>
      <c r="I166" s="4">
        <v>0</v>
      </c>
    </row>
    <row r="167" spans="1:9" x14ac:dyDescent="0.2">
      <c r="A167" s="2">
        <v>6</v>
      </c>
      <c r="B167" s="1" t="s">
        <v>160</v>
      </c>
      <c r="C167" s="4">
        <v>28</v>
      </c>
      <c r="D167" s="8">
        <v>2.5</v>
      </c>
      <c r="E167" s="4">
        <v>1</v>
      </c>
      <c r="F167" s="8">
        <v>0.55000000000000004</v>
      </c>
      <c r="G167" s="4">
        <v>27</v>
      </c>
      <c r="H167" s="8">
        <v>2.88</v>
      </c>
      <c r="I167" s="4">
        <v>0</v>
      </c>
    </row>
    <row r="168" spans="1:9" x14ac:dyDescent="0.2">
      <c r="A168" s="2">
        <v>6</v>
      </c>
      <c r="B168" s="1" t="s">
        <v>169</v>
      </c>
      <c r="C168" s="4">
        <v>28</v>
      </c>
      <c r="D168" s="8">
        <v>2.5</v>
      </c>
      <c r="E168" s="4">
        <v>8</v>
      </c>
      <c r="F168" s="8">
        <v>4.42</v>
      </c>
      <c r="G168" s="4">
        <v>20</v>
      </c>
      <c r="H168" s="8">
        <v>2.13</v>
      </c>
      <c r="I168" s="4">
        <v>0</v>
      </c>
    </row>
    <row r="169" spans="1:9" x14ac:dyDescent="0.2">
      <c r="A169" s="2">
        <v>9</v>
      </c>
      <c r="B169" s="1" t="s">
        <v>156</v>
      </c>
      <c r="C169" s="4">
        <v>24</v>
      </c>
      <c r="D169" s="8">
        <v>2.14</v>
      </c>
      <c r="E169" s="4">
        <v>6</v>
      </c>
      <c r="F169" s="8">
        <v>3.31</v>
      </c>
      <c r="G169" s="4">
        <v>18</v>
      </c>
      <c r="H169" s="8">
        <v>1.92</v>
      </c>
      <c r="I169" s="4">
        <v>0</v>
      </c>
    </row>
    <row r="170" spans="1:9" x14ac:dyDescent="0.2">
      <c r="A170" s="2">
        <v>10</v>
      </c>
      <c r="B170" s="1" t="s">
        <v>185</v>
      </c>
      <c r="C170" s="4">
        <v>22</v>
      </c>
      <c r="D170" s="8">
        <v>1.96</v>
      </c>
      <c r="E170" s="4">
        <v>1</v>
      </c>
      <c r="F170" s="8">
        <v>0.55000000000000004</v>
      </c>
      <c r="G170" s="4">
        <v>21</v>
      </c>
      <c r="H170" s="8">
        <v>2.2400000000000002</v>
      </c>
      <c r="I170" s="4">
        <v>0</v>
      </c>
    </row>
    <row r="171" spans="1:9" x14ac:dyDescent="0.2">
      <c r="A171" s="2">
        <v>10</v>
      </c>
      <c r="B171" s="1" t="s">
        <v>168</v>
      </c>
      <c r="C171" s="4">
        <v>22</v>
      </c>
      <c r="D171" s="8">
        <v>1.96</v>
      </c>
      <c r="E171" s="4">
        <v>4</v>
      </c>
      <c r="F171" s="8">
        <v>2.21</v>
      </c>
      <c r="G171" s="4">
        <v>18</v>
      </c>
      <c r="H171" s="8">
        <v>1.92</v>
      </c>
      <c r="I171" s="4">
        <v>0</v>
      </c>
    </row>
    <row r="172" spans="1:9" x14ac:dyDescent="0.2">
      <c r="A172" s="2">
        <v>10</v>
      </c>
      <c r="B172" s="1" t="s">
        <v>166</v>
      </c>
      <c r="C172" s="4">
        <v>22</v>
      </c>
      <c r="D172" s="8">
        <v>1.96</v>
      </c>
      <c r="E172" s="4">
        <v>14</v>
      </c>
      <c r="F172" s="8">
        <v>7.73</v>
      </c>
      <c r="G172" s="4">
        <v>8</v>
      </c>
      <c r="H172" s="8">
        <v>0.85</v>
      </c>
      <c r="I172" s="4">
        <v>0</v>
      </c>
    </row>
    <row r="173" spans="1:9" x14ac:dyDescent="0.2">
      <c r="A173" s="2">
        <v>13</v>
      </c>
      <c r="B173" s="1" t="s">
        <v>178</v>
      </c>
      <c r="C173" s="4">
        <v>21</v>
      </c>
      <c r="D173" s="8">
        <v>1.87</v>
      </c>
      <c r="E173" s="4">
        <v>1</v>
      </c>
      <c r="F173" s="8">
        <v>0.55000000000000004</v>
      </c>
      <c r="G173" s="4">
        <v>20</v>
      </c>
      <c r="H173" s="8">
        <v>2.13</v>
      </c>
      <c r="I173" s="4">
        <v>0</v>
      </c>
    </row>
    <row r="174" spans="1:9" x14ac:dyDescent="0.2">
      <c r="A174" s="2">
        <v>13</v>
      </c>
      <c r="B174" s="1" t="s">
        <v>161</v>
      </c>
      <c r="C174" s="4">
        <v>21</v>
      </c>
      <c r="D174" s="8">
        <v>1.87</v>
      </c>
      <c r="E174" s="4">
        <v>7</v>
      </c>
      <c r="F174" s="8">
        <v>3.87</v>
      </c>
      <c r="G174" s="4">
        <v>14</v>
      </c>
      <c r="H174" s="8">
        <v>1.49</v>
      </c>
      <c r="I174" s="4">
        <v>0</v>
      </c>
    </row>
    <row r="175" spans="1:9" x14ac:dyDescent="0.2">
      <c r="A175" s="2">
        <v>13</v>
      </c>
      <c r="B175" s="1" t="s">
        <v>170</v>
      </c>
      <c r="C175" s="4">
        <v>21</v>
      </c>
      <c r="D175" s="8">
        <v>1.87</v>
      </c>
      <c r="E175" s="4">
        <v>17</v>
      </c>
      <c r="F175" s="8">
        <v>9.39</v>
      </c>
      <c r="G175" s="4">
        <v>4</v>
      </c>
      <c r="H175" s="8">
        <v>0.43</v>
      </c>
      <c r="I175" s="4">
        <v>0</v>
      </c>
    </row>
    <row r="176" spans="1:9" x14ac:dyDescent="0.2">
      <c r="A176" s="2">
        <v>16</v>
      </c>
      <c r="B176" s="1" t="s">
        <v>184</v>
      </c>
      <c r="C176" s="4">
        <v>20</v>
      </c>
      <c r="D176" s="8">
        <v>1.78</v>
      </c>
      <c r="E176" s="4">
        <v>1</v>
      </c>
      <c r="F176" s="8">
        <v>0.55000000000000004</v>
      </c>
      <c r="G176" s="4">
        <v>19</v>
      </c>
      <c r="H176" s="8">
        <v>2.0299999999999998</v>
      </c>
      <c r="I176" s="4">
        <v>0</v>
      </c>
    </row>
    <row r="177" spans="1:9" x14ac:dyDescent="0.2">
      <c r="A177" s="2">
        <v>16</v>
      </c>
      <c r="B177" s="1" t="s">
        <v>180</v>
      </c>
      <c r="C177" s="4">
        <v>20</v>
      </c>
      <c r="D177" s="8">
        <v>1.78</v>
      </c>
      <c r="E177" s="4">
        <v>7</v>
      </c>
      <c r="F177" s="8">
        <v>3.87</v>
      </c>
      <c r="G177" s="4">
        <v>13</v>
      </c>
      <c r="H177" s="8">
        <v>1.39</v>
      </c>
      <c r="I177" s="4">
        <v>0</v>
      </c>
    </row>
    <row r="178" spans="1:9" x14ac:dyDescent="0.2">
      <c r="A178" s="2">
        <v>18</v>
      </c>
      <c r="B178" s="1" t="s">
        <v>183</v>
      </c>
      <c r="C178" s="4">
        <v>18</v>
      </c>
      <c r="D178" s="8">
        <v>1.6</v>
      </c>
      <c r="E178" s="4">
        <v>0</v>
      </c>
      <c r="F178" s="8">
        <v>0</v>
      </c>
      <c r="G178" s="4">
        <v>18</v>
      </c>
      <c r="H178" s="8">
        <v>1.92</v>
      </c>
      <c r="I178" s="4">
        <v>0</v>
      </c>
    </row>
    <row r="179" spans="1:9" x14ac:dyDescent="0.2">
      <c r="A179" s="2">
        <v>19</v>
      </c>
      <c r="B179" s="1" t="s">
        <v>157</v>
      </c>
      <c r="C179" s="4">
        <v>17</v>
      </c>
      <c r="D179" s="8">
        <v>1.52</v>
      </c>
      <c r="E179" s="4">
        <v>0</v>
      </c>
      <c r="F179" s="8">
        <v>0</v>
      </c>
      <c r="G179" s="4">
        <v>17</v>
      </c>
      <c r="H179" s="8">
        <v>1.81</v>
      </c>
      <c r="I179" s="4">
        <v>0</v>
      </c>
    </row>
    <row r="180" spans="1:9" x14ac:dyDescent="0.2">
      <c r="A180" s="2">
        <v>19</v>
      </c>
      <c r="B180" s="1" t="s">
        <v>186</v>
      </c>
      <c r="C180" s="4">
        <v>17</v>
      </c>
      <c r="D180" s="8">
        <v>1.52</v>
      </c>
      <c r="E180" s="4">
        <v>0</v>
      </c>
      <c r="F180" s="8">
        <v>0</v>
      </c>
      <c r="G180" s="4">
        <v>17</v>
      </c>
      <c r="H180" s="8">
        <v>1.81</v>
      </c>
      <c r="I180" s="4">
        <v>0</v>
      </c>
    </row>
    <row r="181" spans="1:9" x14ac:dyDescent="0.2">
      <c r="A181" s="1"/>
      <c r="C181" s="4"/>
      <c r="D181" s="8"/>
      <c r="E181" s="4"/>
      <c r="F181" s="8"/>
      <c r="G181" s="4"/>
      <c r="H181" s="8"/>
      <c r="I181" s="4"/>
    </row>
    <row r="182" spans="1:9" x14ac:dyDescent="0.2">
      <c r="A182" s="1" t="s">
        <v>8</v>
      </c>
      <c r="C182" s="4"/>
      <c r="D182" s="8"/>
      <c r="E182" s="4"/>
      <c r="F182" s="8"/>
      <c r="G182" s="4"/>
      <c r="H182" s="8"/>
      <c r="I182" s="4"/>
    </row>
    <row r="183" spans="1:9" x14ac:dyDescent="0.2">
      <c r="A183" s="2">
        <v>1</v>
      </c>
      <c r="B183" s="1" t="s">
        <v>164</v>
      </c>
      <c r="C183" s="4">
        <v>109</v>
      </c>
      <c r="D183" s="8">
        <v>5.35</v>
      </c>
      <c r="E183" s="4">
        <v>105</v>
      </c>
      <c r="F183" s="8">
        <v>8.25</v>
      </c>
      <c r="G183" s="4">
        <v>4</v>
      </c>
      <c r="H183" s="8">
        <v>0.53</v>
      </c>
      <c r="I183" s="4">
        <v>0</v>
      </c>
    </row>
    <row r="184" spans="1:9" x14ac:dyDescent="0.2">
      <c r="A184" s="2">
        <v>2</v>
      </c>
      <c r="B184" s="1" t="s">
        <v>163</v>
      </c>
      <c r="C184" s="4">
        <v>86</v>
      </c>
      <c r="D184" s="8">
        <v>4.22</v>
      </c>
      <c r="E184" s="4">
        <v>81</v>
      </c>
      <c r="F184" s="8">
        <v>6.36</v>
      </c>
      <c r="G184" s="4">
        <v>5</v>
      </c>
      <c r="H184" s="8">
        <v>0.66</v>
      </c>
      <c r="I184" s="4">
        <v>0</v>
      </c>
    </row>
    <row r="185" spans="1:9" x14ac:dyDescent="0.2">
      <c r="A185" s="2">
        <v>3</v>
      </c>
      <c r="B185" s="1" t="s">
        <v>161</v>
      </c>
      <c r="C185" s="4">
        <v>70</v>
      </c>
      <c r="D185" s="8">
        <v>3.43</v>
      </c>
      <c r="E185" s="4">
        <v>61</v>
      </c>
      <c r="F185" s="8">
        <v>4.79</v>
      </c>
      <c r="G185" s="4">
        <v>9</v>
      </c>
      <c r="H185" s="8">
        <v>1.19</v>
      </c>
      <c r="I185" s="4">
        <v>0</v>
      </c>
    </row>
    <row r="186" spans="1:9" x14ac:dyDescent="0.2">
      <c r="A186" s="2">
        <v>4</v>
      </c>
      <c r="B186" s="1" t="s">
        <v>158</v>
      </c>
      <c r="C186" s="4">
        <v>65</v>
      </c>
      <c r="D186" s="8">
        <v>3.19</v>
      </c>
      <c r="E186" s="4">
        <v>55</v>
      </c>
      <c r="F186" s="8">
        <v>4.32</v>
      </c>
      <c r="G186" s="4">
        <v>10</v>
      </c>
      <c r="H186" s="8">
        <v>1.32</v>
      </c>
      <c r="I186" s="4">
        <v>0</v>
      </c>
    </row>
    <row r="187" spans="1:9" x14ac:dyDescent="0.2">
      <c r="A187" s="2">
        <v>5</v>
      </c>
      <c r="B187" s="1" t="s">
        <v>156</v>
      </c>
      <c r="C187" s="4">
        <v>54</v>
      </c>
      <c r="D187" s="8">
        <v>2.65</v>
      </c>
      <c r="E187" s="4">
        <v>37</v>
      </c>
      <c r="F187" s="8">
        <v>2.91</v>
      </c>
      <c r="G187" s="4">
        <v>17</v>
      </c>
      <c r="H187" s="8">
        <v>2.25</v>
      </c>
      <c r="I187" s="4">
        <v>0</v>
      </c>
    </row>
    <row r="188" spans="1:9" x14ac:dyDescent="0.2">
      <c r="A188" s="2">
        <v>6</v>
      </c>
      <c r="B188" s="1" t="s">
        <v>162</v>
      </c>
      <c r="C188" s="4">
        <v>51</v>
      </c>
      <c r="D188" s="8">
        <v>2.5</v>
      </c>
      <c r="E188" s="4">
        <v>50</v>
      </c>
      <c r="F188" s="8">
        <v>3.93</v>
      </c>
      <c r="G188" s="4">
        <v>1</v>
      </c>
      <c r="H188" s="8">
        <v>0.13</v>
      </c>
      <c r="I188" s="4">
        <v>0</v>
      </c>
    </row>
    <row r="189" spans="1:9" x14ac:dyDescent="0.2">
      <c r="A189" s="2">
        <v>7</v>
      </c>
      <c r="B189" s="1" t="s">
        <v>154</v>
      </c>
      <c r="C189" s="4">
        <v>50</v>
      </c>
      <c r="D189" s="8">
        <v>2.4500000000000002</v>
      </c>
      <c r="E189" s="4">
        <v>37</v>
      </c>
      <c r="F189" s="8">
        <v>2.91</v>
      </c>
      <c r="G189" s="4">
        <v>13</v>
      </c>
      <c r="H189" s="8">
        <v>1.72</v>
      </c>
      <c r="I189" s="4">
        <v>0</v>
      </c>
    </row>
    <row r="190" spans="1:9" x14ac:dyDescent="0.2">
      <c r="A190" s="2">
        <v>8</v>
      </c>
      <c r="B190" s="1" t="s">
        <v>167</v>
      </c>
      <c r="C190" s="4">
        <v>43</v>
      </c>
      <c r="D190" s="8">
        <v>2.11</v>
      </c>
      <c r="E190" s="4">
        <v>40</v>
      </c>
      <c r="F190" s="8">
        <v>3.14</v>
      </c>
      <c r="G190" s="4">
        <v>3</v>
      </c>
      <c r="H190" s="8">
        <v>0.4</v>
      </c>
      <c r="I190" s="4">
        <v>0</v>
      </c>
    </row>
    <row r="191" spans="1:9" x14ac:dyDescent="0.2">
      <c r="A191" s="2">
        <v>9</v>
      </c>
      <c r="B191" s="1" t="s">
        <v>166</v>
      </c>
      <c r="C191" s="4">
        <v>40</v>
      </c>
      <c r="D191" s="8">
        <v>1.96</v>
      </c>
      <c r="E191" s="4">
        <v>37</v>
      </c>
      <c r="F191" s="8">
        <v>2.91</v>
      </c>
      <c r="G191" s="4">
        <v>3</v>
      </c>
      <c r="H191" s="8">
        <v>0.4</v>
      </c>
      <c r="I191" s="4">
        <v>0</v>
      </c>
    </row>
    <row r="192" spans="1:9" x14ac:dyDescent="0.2">
      <c r="A192" s="2">
        <v>10</v>
      </c>
      <c r="B192" s="1" t="s">
        <v>150</v>
      </c>
      <c r="C192" s="4">
        <v>38</v>
      </c>
      <c r="D192" s="8">
        <v>1.86</v>
      </c>
      <c r="E192" s="4">
        <v>25</v>
      </c>
      <c r="F192" s="8">
        <v>1.96</v>
      </c>
      <c r="G192" s="4">
        <v>13</v>
      </c>
      <c r="H192" s="8">
        <v>1.72</v>
      </c>
      <c r="I192" s="4">
        <v>0</v>
      </c>
    </row>
    <row r="193" spans="1:9" x14ac:dyDescent="0.2">
      <c r="A193" s="2">
        <v>11</v>
      </c>
      <c r="B193" s="1" t="s">
        <v>190</v>
      </c>
      <c r="C193" s="4">
        <v>37</v>
      </c>
      <c r="D193" s="8">
        <v>1.81</v>
      </c>
      <c r="E193" s="4">
        <v>19</v>
      </c>
      <c r="F193" s="8">
        <v>1.49</v>
      </c>
      <c r="G193" s="4">
        <v>18</v>
      </c>
      <c r="H193" s="8">
        <v>2.38</v>
      </c>
      <c r="I193" s="4">
        <v>0</v>
      </c>
    </row>
    <row r="194" spans="1:9" x14ac:dyDescent="0.2">
      <c r="A194" s="2">
        <v>11</v>
      </c>
      <c r="B194" s="1" t="s">
        <v>191</v>
      </c>
      <c r="C194" s="4">
        <v>37</v>
      </c>
      <c r="D194" s="8">
        <v>1.81</v>
      </c>
      <c r="E194" s="4">
        <v>24</v>
      </c>
      <c r="F194" s="8">
        <v>1.89</v>
      </c>
      <c r="G194" s="4">
        <v>13</v>
      </c>
      <c r="H194" s="8">
        <v>1.72</v>
      </c>
      <c r="I194" s="4">
        <v>0</v>
      </c>
    </row>
    <row r="195" spans="1:9" x14ac:dyDescent="0.2">
      <c r="A195" s="2">
        <v>13</v>
      </c>
      <c r="B195" s="1" t="s">
        <v>183</v>
      </c>
      <c r="C195" s="4">
        <v>34</v>
      </c>
      <c r="D195" s="8">
        <v>1.67</v>
      </c>
      <c r="E195" s="4">
        <v>11</v>
      </c>
      <c r="F195" s="8">
        <v>0.86</v>
      </c>
      <c r="G195" s="4">
        <v>23</v>
      </c>
      <c r="H195" s="8">
        <v>3.05</v>
      </c>
      <c r="I195" s="4">
        <v>0</v>
      </c>
    </row>
    <row r="196" spans="1:9" x14ac:dyDescent="0.2">
      <c r="A196" s="2">
        <v>14</v>
      </c>
      <c r="B196" s="1" t="s">
        <v>187</v>
      </c>
      <c r="C196" s="4">
        <v>32</v>
      </c>
      <c r="D196" s="8">
        <v>1.57</v>
      </c>
      <c r="E196" s="4">
        <v>9</v>
      </c>
      <c r="F196" s="8">
        <v>0.71</v>
      </c>
      <c r="G196" s="4">
        <v>23</v>
      </c>
      <c r="H196" s="8">
        <v>3.05</v>
      </c>
      <c r="I196" s="4">
        <v>0</v>
      </c>
    </row>
    <row r="197" spans="1:9" x14ac:dyDescent="0.2">
      <c r="A197" s="2">
        <v>14</v>
      </c>
      <c r="B197" s="1" t="s">
        <v>192</v>
      </c>
      <c r="C197" s="4">
        <v>32</v>
      </c>
      <c r="D197" s="8">
        <v>1.57</v>
      </c>
      <c r="E197" s="4">
        <v>30</v>
      </c>
      <c r="F197" s="8">
        <v>2.36</v>
      </c>
      <c r="G197" s="4">
        <v>2</v>
      </c>
      <c r="H197" s="8">
        <v>0.26</v>
      </c>
      <c r="I197" s="4">
        <v>0</v>
      </c>
    </row>
    <row r="198" spans="1:9" x14ac:dyDescent="0.2">
      <c r="A198" s="2">
        <v>16</v>
      </c>
      <c r="B198" s="1" t="s">
        <v>177</v>
      </c>
      <c r="C198" s="4">
        <v>30</v>
      </c>
      <c r="D198" s="8">
        <v>1.47</v>
      </c>
      <c r="E198" s="4">
        <v>16</v>
      </c>
      <c r="F198" s="8">
        <v>1.26</v>
      </c>
      <c r="G198" s="4">
        <v>14</v>
      </c>
      <c r="H198" s="8">
        <v>1.85</v>
      </c>
      <c r="I198" s="4">
        <v>0</v>
      </c>
    </row>
    <row r="199" spans="1:9" x14ac:dyDescent="0.2">
      <c r="A199" s="2">
        <v>16</v>
      </c>
      <c r="B199" s="1" t="s">
        <v>189</v>
      </c>
      <c r="C199" s="4">
        <v>30</v>
      </c>
      <c r="D199" s="8">
        <v>1.47</v>
      </c>
      <c r="E199" s="4">
        <v>20</v>
      </c>
      <c r="F199" s="8">
        <v>1.57</v>
      </c>
      <c r="G199" s="4">
        <v>10</v>
      </c>
      <c r="H199" s="8">
        <v>1.32</v>
      </c>
      <c r="I199" s="4">
        <v>0</v>
      </c>
    </row>
    <row r="200" spans="1:9" x14ac:dyDescent="0.2">
      <c r="A200" s="2">
        <v>16</v>
      </c>
      <c r="B200" s="1" t="s">
        <v>168</v>
      </c>
      <c r="C200" s="4">
        <v>30</v>
      </c>
      <c r="D200" s="8">
        <v>1.47</v>
      </c>
      <c r="E200" s="4">
        <v>17</v>
      </c>
      <c r="F200" s="8">
        <v>1.34</v>
      </c>
      <c r="G200" s="4">
        <v>13</v>
      </c>
      <c r="H200" s="8">
        <v>1.72</v>
      </c>
      <c r="I200" s="4">
        <v>0</v>
      </c>
    </row>
    <row r="201" spans="1:9" x14ac:dyDescent="0.2">
      <c r="A201" s="2">
        <v>19</v>
      </c>
      <c r="B201" s="1" t="s">
        <v>165</v>
      </c>
      <c r="C201" s="4">
        <v>29</v>
      </c>
      <c r="D201" s="8">
        <v>1.42</v>
      </c>
      <c r="E201" s="4">
        <v>25</v>
      </c>
      <c r="F201" s="8">
        <v>1.96</v>
      </c>
      <c r="G201" s="4">
        <v>4</v>
      </c>
      <c r="H201" s="8">
        <v>0.53</v>
      </c>
      <c r="I201" s="4">
        <v>0</v>
      </c>
    </row>
    <row r="202" spans="1:9" x14ac:dyDescent="0.2">
      <c r="A202" s="2">
        <v>20</v>
      </c>
      <c r="B202" s="1" t="s">
        <v>152</v>
      </c>
      <c r="C202" s="4">
        <v>28</v>
      </c>
      <c r="D202" s="8">
        <v>1.37</v>
      </c>
      <c r="E202" s="4">
        <v>13</v>
      </c>
      <c r="F202" s="8">
        <v>1.02</v>
      </c>
      <c r="G202" s="4">
        <v>15</v>
      </c>
      <c r="H202" s="8">
        <v>1.99</v>
      </c>
      <c r="I202" s="4">
        <v>0</v>
      </c>
    </row>
    <row r="203" spans="1:9" x14ac:dyDescent="0.2">
      <c r="A203" s="2">
        <v>20</v>
      </c>
      <c r="B203" s="1" t="s">
        <v>188</v>
      </c>
      <c r="C203" s="4">
        <v>28</v>
      </c>
      <c r="D203" s="8">
        <v>1.37</v>
      </c>
      <c r="E203" s="4">
        <v>13</v>
      </c>
      <c r="F203" s="8">
        <v>1.02</v>
      </c>
      <c r="G203" s="4">
        <v>15</v>
      </c>
      <c r="H203" s="8">
        <v>1.99</v>
      </c>
      <c r="I203" s="4">
        <v>0</v>
      </c>
    </row>
    <row r="204" spans="1:9" x14ac:dyDescent="0.2">
      <c r="A204" s="2">
        <v>20</v>
      </c>
      <c r="B204" s="1" t="s">
        <v>157</v>
      </c>
      <c r="C204" s="4">
        <v>28</v>
      </c>
      <c r="D204" s="8">
        <v>1.37</v>
      </c>
      <c r="E204" s="4">
        <v>8</v>
      </c>
      <c r="F204" s="8">
        <v>0.63</v>
      </c>
      <c r="G204" s="4">
        <v>20</v>
      </c>
      <c r="H204" s="8">
        <v>2.65</v>
      </c>
      <c r="I204" s="4">
        <v>0</v>
      </c>
    </row>
    <row r="205" spans="1:9" x14ac:dyDescent="0.2">
      <c r="A205" s="1"/>
      <c r="C205" s="4"/>
      <c r="D205" s="8"/>
      <c r="E205" s="4"/>
      <c r="F205" s="8"/>
      <c r="G205" s="4"/>
      <c r="H205" s="8"/>
      <c r="I205" s="4"/>
    </row>
    <row r="206" spans="1:9" x14ac:dyDescent="0.2">
      <c r="A206" s="1" t="s">
        <v>9</v>
      </c>
      <c r="C206" s="4"/>
      <c r="D206" s="8"/>
      <c r="E206" s="4"/>
      <c r="F206" s="8"/>
      <c r="G206" s="4"/>
      <c r="H206" s="8"/>
      <c r="I206" s="4"/>
    </row>
    <row r="207" spans="1:9" x14ac:dyDescent="0.2">
      <c r="A207" s="2">
        <v>1</v>
      </c>
      <c r="B207" s="1" t="s">
        <v>158</v>
      </c>
      <c r="C207" s="4">
        <v>641</v>
      </c>
      <c r="D207" s="8">
        <v>9.68</v>
      </c>
      <c r="E207" s="4">
        <v>265</v>
      </c>
      <c r="F207" s="8">
        <v>10.67</v>
      </c>
      <c r="G207" s="4">
        <v>376</v>
      </c>
      <c r="H207" s="8">
        <v>9.18</v>
      </c>
      <c r="I207" s="4">
        <v>0</v>
      </c>
    </row>
    <row r="208" spans="1:9" x14ac:dyDescent="0.2">
      <c r="A208" s="2">
        <v>2</v>
      </c>
      <c r="B208" s="1" t="s">
        <v>164</v>
      </c>
      <c r="C208" s="4">
        <v>325</v>
      </c>
      <c r="D208" s="8">
        <v>4.91</v>
      </c>
      <c r="E208" s="4">
        <v>256</v>
      </c>
      <c r="F208" s="8">
        <v>10.31</v>
      </c>
      <c r="G208" s="4">
        <v>69</v>
      </c>
      <c r="H208" s="8">
        <v>1.69</v>
      </c>
      <c r="I208" s="4">
        <v>0</v>
      </c>
    </row>
    <row r="209" spans="1:9" x14ac:dyDescent="0.2">
      <c r="A209" s="2">
        <v>3</v>
      </c>
      <c r="B209" s="1" t="s">
        <v>159</v>
      </c>
      <c r="C209" s="4">
        <v>225</v>
      </c>
      <c r="D209" s="8">
        <v>3.4</v>
      </c>
      <c r="E209" s="4">
        <v>8</v>
      </c>
      <c r="F209" s="8">
        <v>0.32</v>
      </c>
      <c r="G209" s="4">
        <v>216</v>
      </c>
      <c r="H209" s="8">
        <v>5.28</v>
      </c>
      <c r="I209" s="4">
        <v>1</v>
      </c>
    </row>
    <row r="210" spans="1:9" x14ac:dyDescent="0.2">
      <c r="A210" s="2">
        <v>4</v>
      </c>
      <c r="B210" s="1" t="s">
        <v>166</v>
      </c>
      <c r="C210" s="4">
        <v>192</v>
      </c>
      <c r="D210" s="8">
        <v>2.9</v>
      </c>
      <c r="E210" s="4">
        <v>149</v>
      </c>
      <c r="F210" s="8">
        <v>6</v>
      </c>
      <c r="G210" s="4">
        <v>43</v>
      </c>
      <c r="H210" s="8">
        <v>1.05</v>
      </c>
      <c r="I210" s="4">
        <v>0</v>
      </c>
    </row>
    <row r="211" spans="1:9" x14ac:dyDescent="0.2">
      <c r="A211" s="2">
        <v>5</v>
      </c>
      <c r="B211" s="1" t="s">
        <v>161</v>
      </c>
      <c r="C211" s="4">
        <v>189</v>
      </c>
      <c r="D211" s="8">
        <v>2.85</v>
      </c>
      <c r="E211" s="4">
        <v>140</v>
      </c>
      <c r="F211" s="8">
        <v>5.64</v>
      </c>
      <c r="G211" s="4">
        <v>49</v>
      </c>
      <c r="H211" s="8">
        <v>1.2</v>
      </c>
      <c r="I211" s="4">
        <v>0</v>
      </c>
    </row>
    <row r="212" spans="1:9" x14ac:dyDescent="0.2">
      <c r="A212" s="2">
        <v>6</v>
      </c>
      <c r="B212" s="1" t="s">
        <v>163</v>
      </c>
      <c r="C212" s="4">
        <v>186</v>
      </c>
      <c r="D212" s="8">
        <v>2.81</v>
      </c>
      <c r="E212" s="4">
        <v>162</v>
      </c>
      <c r="F212" s="8">
        <v>6.52</v>
      </c>
      <c r="G212" s="4">
        <v>24</v>
      </c>
      <c r="H212" s="8">
        <v>0.59</v>
      </c>
      <c r="I212" s="4">
        <v>0</v>
      </c>
    </row>
    <row r="213" spans="1:9" x14ac:dyDescent="0.2">
      <c r="A213" s="2">
        <v>7</v>
      </c>
      <c r="B213" s="1" t="s">
        <v>165</v>
      </c>
      <c r="C213" s="4">
        <v>154</v>
      </c>
      <c r="D213" s="8">
        <v>2.33</v>
      </c>
      <c r="E213" s="4">
        <v>102</v>
      </c>
      <c r="F213" s="8">
        <v>4.1100000000000003</v>
      </c>
      <c r="G213" s="4">
        <v>52</v>
      </c>
      <c r="H213" s="8">
        <v>1.27</v>
      </c>
      <c r="I213" s="4">
        <v>0</v>
      </c>
    </row>
    <row r="214" spans="1:9" x14ac:dyDescent="0.2">
      <c r="A214" s="2">
        <v>8</v>
      </c>
      <c r="B214" s="1" t="s">
        <v>156</v>
      </c>
      <c r="C214" s="4">
        <v>126</v>
      </c>
      <c r="D214" s="8">
        <v>1.9</v>
      </c>
      <c r="E214" s="4">
        <v>72</v>
      </c>
      <c r="F214" s="8">
        <v>2.9</v>
      </c>
      <c r="G214" s="4">
        <v>54</v>
      </c>
      <c r="H214" s="8">
        <v>1.32</v>
      </c>
      <c r="I214" s="4">
        <v>0</v>
      </c>
    </row>
    <row r="215" spans="1:9" x14ac:dyDescent="0.2">
      <c r="A215" s="2">
        <v>9</v>
      </c>
      <c r="B215" s="1" t="s">
        <v>162</v>
      </c>
      <c r="C215" s="4">
        <v>119</v>
      </c>
      <c r="D215" s="8">
        <v>1.8</v>
      </c>
      <c r="E215" s="4">
        <v>107</v>
      </c>
      <c r="F215" s="8">
        <v>4.3099999999999996</v>
      </c>
      <c r="G215" s="4">
        <v>12</v>
      </c>
      <c r="H215" s="8">
        <v>0.28999999999999998</v>
      </c>
      <c r="I215" s="4">
        <v>0</v>
      </c>
    </row>
    <row r="216" spans="1:9" x14ac:dyDescent="0.2">
      <c r="A216" s="2">
        <v>10</v>
      </c>
      <c r="B216" s="1" t="s">
        <v>169</v>
      </c>
      <c r="C216" s="4">
        <v>116</v>
      </c>
      <c r="D216" s="8">
        <v>1.75</v>
      </c>
      <c r="E216" s="4">
        <v>53</v>
      </c>
      <c r="F216" s="8">
        <v>2.13</v>
      </c>
      <c r="G216" s="4">
        <v>63</v>
      </c>
      <c r="H216" s="8">
        <v>1.54</v>
      </c>
      <c r="I216" s="4">
        <v>0</v>
      </c>
    </row>
    <row r="217" spans="1:9" x14ac:dyDescent="0.2">
      <c r="A217" s="2">
        <v>11</v>
      </c>
      <c r="B217" s="1" t="s">
        <v>171</v>
      </c>
      <c r="C217" s="4">
        <v>103</v>
      </c>
      <c r="D217" s="8">
        <v>1.56</v>
      </c>
      <c r="E217" s="4">
        <v>4</v>
      </c>
      <c r="F217" s="8">
        <v>0.16</v>
      </c>
      <c r="G217" s="4">
        <v>99</v>
      </c>
      <c r="H217" s="8">
        <v>2.42</v>
      </c>
      <c r="I217" s="4">
        <v>0</v>
      </c>
    </row>
    <row r="218" spans="1:9" x14ac:dyDescent="0.2">
      <c r="A218" s="2">
        <v>11</v>
      </c>
      <c r="B218" s="1" t="s">
        <v>170</v>
      </c>
      <c r="C218" s="4">
        <v>103</v>
      </c>
      <c r="D218" s="8">
        <v>1.56</v>
      </c>
      <c r="E218" s="4">
        <v>95</v>
      </c>
      <c r="F218" s="8">
        <v>3.82</v>
      </c>
      <c r="G218" s="4">
        <v>8</v>
      </c>
      <c r="H218" s="8">
        <v>0.2</v>
      </c>
      <c r="I218" s="4">
        <v>0</v>
      </c>
    </row>
    <row r="219" spans="1:9" x14ac:dyDescent="0.2">
      <c r="A219" s="2">
        <v>13</v>
      </c>
      <c r="B219" s="1" t="s">
        <v>157</v>
      </c>
      <c r="C219" s="4">
        <v>100</v>
      </c>
      <c r="D219" s="8">
        <v>1.51</v>
      </c>
      <c r="E219" s="4">
        <v>20</v>
      </c>
      <c r="F219" s="8">
        <v>0.81</v>
      </c>
      <c r="G219" s="4">
        <v>80</v>
      </c>
      <c r="H219" s="8">
        <v>1.95</v>
      </c>
      <c r="I219" s="4">
        <v>0</v>
      </c>
    </row>
    <row r="220" spans="1:9" x14ac:dyDescent="0.2">
      <c r="A220" s="2">
        <v>14</v>
      </c>
      <c r="B220" s="1" t="s">
        <v>151</v>
      </c>
      <c r="C220" s="4">
        <v>98</v>
      </c>
      <c r="D220" s="8">
        <v>1.48</v>
      </c>
      <c r="E220" s="4">
        <v>10</v>
      </c>
      <c r="F220" s="8">
        <v>0.4</v>
      </c>
      <c r="G220" s="4">
        <v>88</v>
      </c>
      <c r="H220" s="8">
        <v>2.15</v>
      </c>
      <c r="I220" s="4">
        <v>0</v>
      </c>
    </row>
    <row r="221" spans="1:9" x14ac:dyDescent="0.2">
      <c r="A221" s="2">
        <v>15</v>
      </c>
      <c r="B221" s="1" t="s">
        <v>154</v>
      </c>
      <c r="C221" s="4">
        <v>96</v>
      </c>
      <c r="D221" s="8">
        <v>1.45</v>
      </c>
      <c r="E221" s="4">
        <v>61</v>
      </c>
      <c r="F221" s="8">
        <v>2.46</v>
      </c>
      <c r="G221" s="4">
        <v>35</v>
      </c>
      <c r="H221" s="8">
        <v>0.85</v>
      </c>
      <c r="I221" s="4">
        <v>0</v>
      </c>
    </row>
    <row r="222" spans="1:9" x14ac:dyDescent="0.2">
      <c r="A222" s="2">
        <v>16</v>
      </c>
      <c r="B222" s="1" t="s">
        <v>176</v>
      </c>
      <c r="C222" s="4">
        <v>81</v>
      </c>
      <c r="D222" s="8">
        <v>1.22</v>
      </c>
      <c r="E222" s="4">
        <v>13</v>
      </c>
      <c r="F222" s="8">
        <v>0.52</v>
      </c>
      <c r="G222" s="4">
        <v>68</v>
      </c>
      <c r="H222" s="8">
        <v>1.66</v>
      </c>
      <c r="I222" s="4">
        <v>0</v>
      </c>
    </row>
    <row r="223" spans="1:9" x14ac:dyDescent="0.2">
      <c r="A223" s="2">
        <v>16</v>
      </c>
      <c r="B223" s="1" t="s">
        <v>178</v>
      </c>
      <c r="C223" s="4">
        <v>81</v>
      </c>
      <c r="D223" s="8">
        <v>1.22</v>
      </c>
      <c r="E223" s="4">
        <v>2</v>
      </c>
      <c r="F223" s="8">
        <v>0.08</v>
      </c>
      <c r="G223" s="4">
        <v>79</v>
      </c>
      <c r="H223" s="8">
        <v>1.93</v>
      </c>
      <c r="I223" s="4">
        <v>0</v>
      </c>
    </row>
    <row r="224" spans="1:9" x14ac:dyDescent="0.2">
      <c r="A224" s="2">
        <v>18</v>
      </c>
      <c r="B224" s="1" t="s">
        <v>152</v>
      </c>
      <c r="C224" s="4">
        <v>79</v>
      </c>
      <c r="D224" s="8">
        <v>1.19</v>
      </c>
      <c r="E224" s="4">
        <v>12</v>
      </c>
      <c r="F224" s="8">
        <v>0.48</v>
      </c>
      <c r="G224" s="4">
        <v>67</v>
      </c>
      <c r="H224" s="8">
        <v>1.64</v>
      </c>
      <c r="I224" s="4">
        <v>0</v>
      </c>
    </row>
    <row r="225" spans="1:9" x14ac:dyDescent="0.2">
      <c r="A225" s="2">
        <v>19</v>
      </c>
      <c r="B225" s="1" t="s">
        <v>149</v>
      </c>
      <c r="C225" s="4">
        <v>78</v>
      </c>
      <c r="D225" s="8">
        <v>1.18</v>
      </c>
      <c r="E225" s="4">
        <v>5</v>
      </c>
      <c r="F225" s="8">
        <v>0.2</v>
      </c>
      <c r="G225" s="4">
        <v>73</v>
      </c>
      <c r="H225" s="8">
        <v>1.78</v>
      </c>
      <c r="I225" s="4">
        <v>0</v>
      </c>
    </row>
    <row r="226" spans="1:9" x14ac:dyDescent="0.2">
      <c r="A226" s="2">
        <v>20</v>
      </c>
      <c r="B226" s="1" t="s">
        <v>153</v>
      </c>
      <c r="C226" s="4">
        <v>77</v>
      </c>
      <c r="D226" s="8">
        <v>1.1599999999999999</v>
      </c>
      <c r="E226" s="4">
        <v>5</v>
      </c>
      <c r="F226" s="8">
        <v>0.2</v>
      </c>
      <c r="G226" s="4">
        <v>72</v>
      </c>
      <c r="H226" s="8">
        <v>1.76</v>
      </c>
      <c r="I226" s="4">
        <v>0</v>
      </c>
    </row>
    <row r="227" spans="1:9" x14ac:dyDescent="0.2">
      <c r="A227" s="1"/>
      <c r="C227" s="4"/>
      <c r="D227" s="8"/>
      <c r="E227" s="4"/>
      <c r="F227" s="8"/>
      <c r="G227" s="4"/>
      <c r="H227" s="8"/>
      <c r="I227" s="4"/>
    </row>
    <row r="228" spans="1:9" x14ac:dyDescent="0.2">
      <c r="A228" s="1" t="s">
        <v>10</v>
      </c>
      <c r="C228" s="4"/>
      <c r="D228" s="8"/>
      <c r="E228" s="4"/>
      <c r="F228" s="8"/>
      <c r="G228" s="4"/>
      <c r="H228" s="8"/>
      <c r="I228" s="4"/>
    </row>
    <row r="229" spans="1:9" x14ac:dyDescent="0.2">
      <c r="A229" s="2">
        <v>1</v>
      </c>
      <c r="B229" s="1" t="s">
        <v>164</v>
      </c>
      <c r="C229" s="4">
        <v>403</v>
      </c>
      <c r="D229" s="8">
        <v>4.99</v>
      </c>
      <c r="E229" s="4">
        <v>312</v>
      </c>
      <c r="F229" s="8">
        <v>10.51</v>
      </c>
      <c r="G229" s="4">
        <v>90</v>
      </c>
      <c r="H229" s="8">
        <v>1.79</v>
      </c>
      <c r="I229" s="4">
        <v>1</v>
      </c>
    </row>
    <row r="230" spans="1:9" x14ac:dyDescent="0.2">
      <c r="A230" s="2">
        <v>2</v>
      </c>
      <c r="B230" s="1" t="s">
        <v>158</v>
      </c>
      <c r="C230" s="4">
        <v>370</v>
      </c>
      <c r="D230" s="8">
        <v>4.58</v>
      </c>
      <c r="E230" s="4">
        <v>85</v>
      </c>
      <c r="F230" s="8">
        <v>2.86</v>
      </c>
      <c r="G230" s="4">
        <v>284</v>
      </c>
      <c r="H230" s="8">
        <v>5.64</v>
      </c>
      <c r="I230" s="4">
        <v>1</v>
      </c>
    </row>
    <row r="231" spans="1:9" x14ac:dyDescent="0.2">
      <c r="A231" s="2">
        <v>3</v>
      </c>
      <c r="B231" s="1" t="s">
        <v>163</v>
      </c>
      <c r="C231" s="4">
        <v>270</v>
      </c>
      <c r="D231" s="8">
        <v>3.34</v>
      </c>
      <c r="E231" s="4">
        <v>242</v>
      </c>
      <c r="F231" s="8">
        <v>8.15</v>
      </c>
      <c r="G231" s="4">
        <v>28</v>
      </c>
      <c r="H231" s="8">
        <v>0.56000000000000005</v>
      </c>
      <c r="I231" s="4">
        <v>0</v>
      </c>
    </row>
    <row r="232" spans="1:9" x14ac:dyDescent="0.2">
      <c r="A232" s="2">
        <v>4</v>
      </c>
      <c r="B232" s="1" t="s">
        <v>166</v>
      </c>
      <c r="C232" s="4">
        <v>254</v>
      </c>
      <c r="D232" s="8">
        <v>3.14</v>
      </c>
      <c r="E232" s="4">
        <v>195</v>
      </c>
      <c r="F232" s="8">
        <v>6.57</v>
      </c>
      <c r="G232" s="4">
        <v>59</v>
      </c>
      <c r="H232" s="8">
        <v>1.17</v>
      </c>
      <c r="I232" s="4">
        <v>0</v>
      </c>
    </row>
    <row r="233" spans="1:9" x14ac:dyDescent="0.2">
      <c r="A233" s="2">
        <v>5</v>
      </c>
      <c r="B233" s="1" t="s">
        <v>162</v>
      </c>
      <c r="C233" s="4">
        <v>251</v>
      </c>
      <c r="D233" s="8">
        <v>3.11</v>
      </c>
      <c r="E233" s="4">
        <v>219</v>
      </c>
      <c r="F233" s="8">
        <v>7.37</v>
      </c>
      <c r="G233" s="4">
        <v>32</v>
      </c>
      <c r="H233" s="8">
        <v>0.64</v>
      </c>
      <c r="I233" s="4">
        <v>0</v>
      </c>
    </row>
    <row r="234" spans="1:9" x14ac:dyDescent="0.2">
      <c r="A234" s="2">
        <v>6</v>
      </c>
      <c r="B234" s="1" t="s">
        <v>161</v>
      </c>
      <c r="C234" s="4">
        <v>234</v>
      </c>
      <c r="D234" s="8">
        <v>2.89</v>
      </c>
      <c r="E234" s="4">
        <v>173</v>
      </c>
      <c r="F234" s="8">
        <v>5.82</v>
      </c>
      <c r="G234" s="4">
        <v>61</v>
      </c>
      <c r="H234" s="8">
        <v>1.21</v>
      </c>
      <c r="I234" s="4">
        <v>0</v>
      </c>
    </row>
    <row r="235" spans="1:9" x14ac:dyDescent="0.2">
      <c r="A235" s="2">
        <v>7</v>
      </c>
      <c r="B235" s="1" t="s">
        <v>165</v>
      </c>
      <c r="C235" s="4">
        <v>206</v>
      </c>
      <c r="D235" s="8">
        <v>2.5499999999999998</v>
      </c>
      <c r="E235" s="4">
        <v>130</v>
      </c>
      <c r="F235" s="8">
        <v>4.38</v>
      </c>
      <c r="G235" s="4">
        <v>75</v>
      </c>
      <c r="H235" s="8">
        <v>1.49</v>
      </c>
      <c r="I235" s="4">
        <v>1</v>
      </c>
    </row>
    <row r="236" spans="1:9" x14ac:dyDescent="0.2">
      <c r="A236" s="2">
        <v>8</v>
      </c>
      <c r="B236" s="1" t="s">
        <v>159</v>
      </c>
      <c r="C236" s="4">
        <v>194</v>
      </c>
      <c r="D236" s="8">
        <v>2.4</v>
      </c>
      <c r="E236" s="4">
        <v>4</v>
      </c>
      <c r="F236" s="8">
        <v>0.13</v>
      </c>
      <c r="G236" s="4">
        <v>189</v>
      </c>
      <c r="H236" s="8">
        <v>3.76</v>
      </c>
      <c r="I236" s="4">
        <v>1</v>
      </c>
    </row>
    <row r="237" spans="1:9" x14ac:dyDescent="0.2">
      <c r="A237" s="2">
        <v>9</v>
      </c>
      <c r="B237" s="1" t="s">
        <v>169</v>
      </c>
      <c r="C237" s="4">
        <v>149</v>
      </c>
      <c r="D237" s="8">
        <v>1.84</v>
      </c>
      <c r="E237" s="4">
        <v>64</v>
      </c>
      <c r="F237" s="8">
        <v>2.15</v>
      </c>
      <c r="G237" s="4">
        <v>85</v>
      </c>
      <c r="H237" s="8">
        <v>1.69</v>
      </c>
      <c r="I237" s="4">
        <v>0</v>
      </c>
    </row>
    <row r="238" spans="1:9" x14ac:dyDescent="0.2">
      <c r="A238" s="2">
        <v>10</v>
      </c>
      <c r="B238" s="1" t="s">
        <v>171</v>
      </c>
      <c r="C238" s="4">
        <v>139</v>
      </c>
      <c r="D238" s="8">
        <v>1.72</v>
      </c>
      <c r="E238" s="4">
        <v>3</v>
      </c>
      <c r="F238" s="8">
        <v>0.1</v>
      </c>
      <c r="G238" s="4">
        <v>135</v>
      </c>
      <c r="H238" s="8">
        <v>2.68</v>
      </c>
      <c r="I238" s="4">
        <v>1</v>
      </c>
    </row>
    <row r="239" spans="1:9" x14ac:dyDescent="0.2">
      <c r="A239" s="2">
        <v>11</v>
      </c>
      <c r="B239" s="1" t="s">
        <v>157</v>
      </c>
      <c r="C239" s="4">
        <v>138</v>
      </c>
      <c r="D239" s="8">
        <v>1.71</v>
      </c>
      <c r="E239" s="4">
        <v>10</v>
      </c>
      <c r="F239" s="8">
        <v>0.34</v>
      </c>
      <c r="G239" s="4">
        <v>128</v>
      </c>
      <c r="H239" s="8">
        <v>2.54</v>
      </c>
      <c r="I239" s="4">
        <v>0</v>
      </c>
    </row>
    <row r="240" spans="1:9" x14ac:dyDescent="0.2">
      <c r="A240" s="2">
        <v>12</v>
      </c>
      <c r="B240" s="1" t="s">
        <v>160</v>
      </c>
      <c r="C240" s="4">
        <v>132</v>
      </c>
      <c r="D240" s="8">
        <v>1.63</v>
      </c>
      <c r="E240" s="4">
        <v>19</v>
      </c>
      <c r="F240" s="8">
        <v>0.64</v>
      </c>
      <c r="G240" s="4">
        <v>112</v>
      </c>
      <c r="H240" s="8">
        <v>2.23</v>
      </c>
      <c r="I240" s="4">
        <v>0</v>
      </c>
    </row>
    <row r="241" spans="1:9" x14ac:dyDescent="0.2">
      <c r="A241" s="2">
        <v>13</v>
      </c>
      <c r="B241" s="1" t="s">
        <v>193</v>
      </c>
      <c r="C241" s="4">
        <v>127</v>
      </c>
      <c r="D241" s="8">
        <v>1.57</v>
      </c>
      <c r="E241" s="4">
        <v>114</v>
      </c>
      <c r="F241" s="8">
        <v>3.84</v>
      </c>
      <c r="G241" s="4">
        <v>13</v>
      </c>
      <c r="H241" s="8">
        <v>0.26</v>
      </c>
      <c r="I241" s="4">
        <v>0</v>
      </c>
    </row>
    <row r="242" spans="1:9" x14ac:dyDescent="0.2">
      <c r="A242" s="2">
        <v>14</v>
      </c>
      <c r="B242" s="1" t="s">
        <v>170</v>
      </c>
      <c r="C242" s="4">
        <v>126</v>
      </c>
      <c r="D242" s="8">
        <v>1.56</v>
      </c>
      <c r="E242" s="4">
        <v>109</v>
      </c>
      <c r="F242" s="8">
        <v>3.67</v>
      </c>
      <c r="G242" s="4">
        <v>17</v>
      </c>
      <c r="H242" s="8">
        <v>0.34</v>
      </c>
      <c r="I242" s="4">
        <v>0</v>
      </c>
    </row>
    <row r="243" spans="1:9" x14ac:dyDescent="0.2">
      <c r="A243" s="2">
        <v>15</v>
      </c>
      <c r="B243" s="1" t="s">
        <v>156</v>
      </c>
      <c r="C243" s="4">
        <v>122</v>
      </c>
      <c r="D243" s="8">
        <v>1.51</v>
      </c>
      <c r="E243" s="4">
        <v>58</v>
      </c>
      <c r="F243" s="8">
        <v>1.95</v>
      </c>
      <c r="G243" s="4">
        <v>64</v>
      </c>
      <c r="H243" s="8">
        <v>1.27</v>
      </c>
      <c r="I243" s="4">
        <v>0</v>
      </c>
    </row>
    <row r="244" spans="1:9" x14ac:dyDescent="0.2">
      <c r="A244" s="2">
        <v>16</v>
      </c>
      <c r="B244" s="1" t="s">
        <v>153</v>
      </c>
      <c r="C244" s="4">
        <v>116</v>
      </c>
      <c r="D244" s="8">
        <v>1.44</v>
      </c>
      <c r="E244" s="4">
        <v>3</v>
      </c>
      <c r="F244" s="8">
        <v>0.1</v>
      </c>
      <c r="G244" s="4">
        <v>113</v>
      </c>
      <c r="H244" s="8">
        <v>2.25</v>
      </c>
      <c r="I244" s="4">
        <v>0</v>
      </c>
    </row>
    <row r="245" spans="1:9" x14ac:dyDescent="0.2">
      <c r="A245" s="2">
        <v>17</v>
      </c>
      <c r="B245" s="1" t="s">
        <v>149</v>
      </c>
      <c r="C245" s="4">
        <v>115</v>
      </c>
      <c r="D245" s="8">
        <v>1.42</v>
      </c>
      <c r="E245" s="4">
        <v>1</v>
      </c>
      <c r="F245" s="8">
        <v>0.03</v>
      </c>
      <c r="G245" s="4">
        <v>114</v>
      </c>
      <c r="H245" s="8">
        <v>2.27</v>
      </c>
      <c r="I245" s="4">
        <v>0</v>
      </c>
    </row>
    <row r="246" spans="1:9" x14ac:dyDescent="0.2">
      <c r="A246" s="2">
        <v>18</v>
      </c>
      <c r="B246" s="1" t="s">
        <v>151</v>
      </c>
      <c r="C246" s="4">
        <v>112</v>
      </c>
      <c r="D246" s="8">
        <v>1.39</v>
      </c>
      <c r="E246" s="4">
        <v>9</v>
      </c>
      <c r="F246" s="8">
        <v>0.3</v>
      </c>
      <c r="G246" s="4">
        <v>103</v>
      </c>
      <c r="H246" s="8">
        <v>2.0499999999999998</v>
      </c>
      <c r="I246" s="4">
        <v>0</v>
      </c>
    </row>
    <row r="247" spans="1:9" x14ac:dyDescent="0.2">
      <c r="A247" s="2">
        <v>18</v>
      </c>
      <c r="B247" s="1" t="s">
        <v>179</v>
      </c>
      <c r="C247" s="4">
        <v>112</v>
      </c>
      <c r="D247" s="8">
        <v>1.39</v>
      </c>
      <c r="E247" s="4">
        <v>23</v>
      </c>
      <c r="F247" s="8">
        <v>0.77</v>
      </c>
      <c r="G247" s="4">
        <v>34</v>
      </c>
      <c r="H247" s="8">
        <v>0.68</v>
      </c>
      <c r="I247" s="4">
        <v>0</v>
      </c>
    </row>
    <row r="248" spans="1:9" x14ac:dyDescent="0.2">
      <c r="A248" s="2">
        <v>20</v>
      </c>
      <c r="B248" s="1" t="s">
        <v>180</v>
      </c>
      <c r="C248" s="4">
        <v>106</v>
      </c>
      <c r="D248" s="8">
        <v>1.31</v>
      </c>
      <c r="E248" s="4">
        <v>58</v>
      </c>
      <c r="F248" s="8">
        <v>1.95</v>
      </c>
      <c r="G248" s="4">
        <v>48</v>
      </c>
      <c r="H248" s="8">
        <v>0.95</v>
      </c>
      <c r="I248" s="4">
        <v>0</v>
      </c>
    </row>
    <row r="249" spans="1:9" x14ac:dyDescent="0.2">
      <c r="A249" s="1"/>
      <c r="C249" s="4"/>
      <c r="D249" s="8"/>
      <c r="E249" s="4"/>
      <c r="F249" s="8"/>
      <c r="G249" s="4"/>
      <c r="H249" s="8"/>
      <c r="I249" s="4"/>
    </row>
    <row r="250" spans="1:9" x14ac:dyDescent="0.2">
      <c r="A250" s="1" t="s">
        <v>11</v>
      </c>
      <c r="C250" s="4"/>
      <c r="D250" s="8"/>
      <c r="E250" s="4"/>
      <c r="F250" s="8"/>
      <c r="G250" s="4"/>
      <c r="H250" s="8"/>
      <c r="I250" s="4"/>
    </row>
    <row r="251" spans="1:9" x14ac:dyDescent="0.2">
      <c r="A251" s="2">
        <v>1</v>
      </c>
      <c r="B251" s="1" t="s">
        <v>164</v>
      </c>
      <c r="C251" s="4">
        <v>93</v>
      </c>
      <c r="D251" s="8">
        <v>6.17</v>
      </c>
      <c r="E251" s="4">
        <v>91</v>
      </c>
      <c r="F251" s="8">
        <v>10.09</v>
      </c>
      <c r="G251" s="4">
        <v>2</v>
      </c>
      <c r="H251" s="8">
        <v>0.34</v>
      </c>
      <c r="I251" s="4">
        <v>0</v>
      </c>
    </row>
    <row r="252" spans="1:9" x14ac:dyDescent="0.2">
      <c r="A252" s="2">
        <v>2</v>
      </c>
      <c r="B252" s="1" t="s">
        <v>161</v>
      </c>
      <c r="C252" s="4">
        <v>59</v>
      </c>
      <c r="D252" s="8">
        <v>3.92</v>
      </c>
      <c r="E252" s="4">
        <v>51</v>
      </c>
      <c r="F252" s="8">
        <v>5.65</v>
      </c>
      <c r="G252" s="4">
        <v>8</v>
      </c>
      <c r="H252" s="8">
        <v>1.36</v>
      </c>
      <c r="I252" s="4">
        <v>0</v>
      </c>
    </row>
    <row r="253" spans="1:9" x14ac:dyDescent="0.2">
      <c r="A253" s="2">
        <v>2</v>
      </c>
      <c r="B253" s="1" t="s">
        <v>162</v>
      </c>
      <c r="C253" s="4">
        <v>59</v>
      </c>
      <c r="D253" s="8">
        <v>3.92</v>
      </c>
      <c r="E253" s="4">
        <v>57</v>
      </c>
      <c r="F253" s="8">
        <v>6.32</v>
      </c>
      <c r="G253" s="4">
        <v>2</v>
      </c>
      <c r="H253" s="8">
        <v>0.34</v>
      </c>
      <c r="I253" s="4">
        <v>0</v>
      </c>
    </row>
    <row r="254" spans="1:9" x14ac:dyDescent="0.2">
      <c r="A254" s="2">
        <v>4</v>
      </c>
      <c r="B254" s="1" t="s">
        <v>163</v>
      </c>
      <c r="C254" s="4">
        <v>55</v>
      </c>
      <c r="D254" s="8">
        <v>3.65</v>
      </c>
      <c r="E254" s="4">
        <v>54</v>
      </c>
      <c r="F254" s="8">
        <v>5.99</v>
      </c>
      <c r="G254" s="4">
        <v>1</v>
      </c>
      <c r="H254" s="8">
        <v>0.17</v>
      </c>
      <c r="I254" s="4">
        <v>0</v>
      </c>
    </row>
    <row r="255" spans="1:9" x14ac:dyDescent="0.2">
      <c r="A255" s="2">
        <v>5</v>
      </c>
      <c r="B255" s="1" t="s">
        <v>193</v>
      </c>
      <c r="C255" s="4">
        <v>50</v>
      </c>
      <c r="D255" s="8">
        <v>3.32</v>
      </c>
      <c r="E255" s="4">
        <v>49</v>
      </c>
      <c r="F255" s="8">
        <v>5.43</v>
      </c>
      <c r="G255" s="4">
        <v>1</v>
      </c>
      <c r="H255" s="8">
        <v>0.17</v>
      </c>
      <c r="I255" s="4">
        <v>0</v>
      </c>
    </row>
    <row r="256" spans="1:9" x14ac:dyDescent="0.2">
      <c r="A256" s="2">
        <v>6</v>
      </c>
      <c r="B256" s="1" t="s">
        <v>150</v>
      </c>
      <c r="C256" s="4">
        <v>45</v>
      </c>
      <c r="D256" s="8">
        <v>2.99</v>
      </c>
      <c r="E256" s="4">
        <v>33</v>
      </c>
      <c r="F256" s="8">
        <v>3.66</v>
      </c>
      <c r="G256" s="4">
        <v>12</v>
      </c>
      <c r="H256" s="8">
        <v>2.0299999999999998</v>
      </c>
      <c r="I256" s="4">
        <v>0</v>
      </c>
    </row>
    <row r="257" spans="1:9" x14ac:dyDescent="0.2">
      <c r="A257" s="2">
        <v>7</v>
      </c>
      <c r="B257" s="1" t="s">
        <v>194</v>
      </c>
      <c r="C257" s="4">
        <v>43</v>
      </c>
      <c r="D257" s="8">
        <v>2.85</v>
      </c>
      <c r="E257" s="4">
        <v>35</v>
      </c>
      <c r="F257" s="8">
        <v>3.88</v>
      </c>
      <c r="G257" s="4">
        <v>8</v>
      </c>
      <c r="H257" s="8">
        <v>1.36</v>
      </c>
      <c r="I257" s="4">
        <v>0</v>
      </c>
    </row>
    <row r="258" spans="1:9" x14ac:dyDescent="0.2">
      <c r="A258" s="2">
        <v>8</v>
      </c>
      <c r="B258" s="1" t="s">
        <v>165</v>
      </c>
      <c r="C258" s="4">
        <v>36</v>
      </c>
      <c r="D258" s="8">
        <v>2.39</v>
      </c>
      <c r="E258" s="4">
        <v>27</v>
      </c>
      <c r="F258" s="8">
        <v>2.99</v>
      </c>
      <c r="G258" s="4">
        <v>9</v>
      </c>
      <c r="H258" s="8">
        <v>1.53</v>
      </c>
      <c r="I258" s="4">
        <v>0</v>
      </c>
    </row>
    <row r="259" spans="1:9" x14ac:dyDescent="0.2">
      <c r="A259" s="2">
        <v>9</v>
      </c>
      <c r="B259" s="1" t="s">
        <v>154</v>
      </c>
      <c r="C259" s="4">
        <v>35</v>
      </c>
      <c r="D259" s="8">
        <v>2.3199999999999998</v>
      </c>
      <c r="E259" s="4">
        <v>23</v>
      </c>
      <c r="F259" s="8">
        <v>2.5499999999999998</v>
      </c>
      <c r="G259" s="4">
        <v>12</v>
      </c>
      <c r="H259" s="8">
        <v>2.0299999999999998</v>
      </c>
      <c r="I259" s="4">
        <v>0</v>
      </c>
    </row>
    <row r="260" spans="1:9" x14ac:dyDescent="0.2">
      <c r="A260" s="2">
        <v>10</v>
      </c>
      <c r="B260" s="1" t="s">
        <v>158</v>
      </c>
      <c r="C260" s="4">
        <v>31</v>
      </c>
      <c r="D260" s="8">
        <v>2.06</v>
      </c>
      <c r="E260" s="4">
        <v>18</v>
      </c>
      <c r="F260" s="8">
        <v>2</v>
      </c>
      <c r="G260" s="4">
        <v>13</v>
      </c>
      <c r="H260" s="8">
        <v>2.2000000000000002</v>
      </c>
      <c r="I260" s="4">
        <v>0</v>
      </c>
    </row>
    <row r="261" spans="1:9" x14ac:dyDescent="0.2">
      <c r="A261" s="2">
        <v>11</v>
      </c>
      <c r="B261" s="1" t="s">
        <v>148</v>
      </c>
      <c r="C261" s="4">
        <v>28</v>
      </c>
      <c r="D261" s="8">
        <v>1.86</v>
      </c>
      <c r="E261" s="4">
        <v>11</v>
      </c>
      <c r="F261" s="8">
        <v>1.22</v>
      </c>
      <c r="G261" s="4">
        <v>17</v>
      </c>
      <c r="H261" s="8">
        <v>2.88</v>
      </c>
      <c r="I261" s="4">
        <v>0</v>
      </c>
    </row>
    <row r="262" spans="1:9" x14ac:dyDescent="0.2">
      <c r="A262" s="2">
        <v>11</v>
      </c>
      <c r="B262" s="1" t="s">
        <v>166</v>
      </c>
      <c r="C262" s="4">
        <v>28</v>
      </c>
      <c r="D262" s="8">
        <v>1.86</v>
      </c>
      <c r="E262" s="4">
        <v>26</v>
      </c>
      <c r="F262" s="8">
        <v>2.88</v>
      </c>
      <c r="G262" s="4">
        <v>2</v>
      </c>
      <c r="H262" s="8">
        <v>0.34</v>
      </c>
      <c r="I262" s="4">
        <v>0</v>
      </c>
    </row>
    <row r="263" spans="1:9" x14ac:dyDescent="0.2">
      <c r="A263" s="2">
        <v>13</v>
      </c>
      <c r="B263" s="1" t="s">
        <v>167</v>
      </c>
      <c r="C263" s="4">
        <v>26</v>
      </c>
      <c r="D263" s="8">
        <v>1.73</v>
      </c>
      <c r="E263" s="4">
        <v>13</v>
      </c>
      <c r="F263" s="8">
        <v>1.44</v>
      </c>
      <c r="G263" s="4">
        <v>13</v>
      </c>
      <c r="H263" s="8">
        <v>2.2000000000000002</v>
      </c>
      <c r="I263" s="4">
        <v>0</v>
      </c>
    </row>
    <row r="264" spans="1:9" x14ac:dyDescent="0.2">
      <c r="A264" s="2">
        <v>14</v>
      </c>
      <c r="B264" s="1" t="s">
        <v>190</v>
      </c>
      <c r="C264" s="4">
        <v>25</v>
      </c>
      <c r="D264" s="8">
        <v>1.66</v>
      </c>
      <c r="E264" s="4">
        <v>18</v>
      </c>
      <c r="F264" s="8">
        <v>2</v>
      </c>
      <c r="G264" s="4">
        <v>7</v>
      </c>
      <c r="H264" s="8">
        <v>1.19</v>
      </c>
      <c r="I264" s="4">
        <v>0</v>
      </c>
    </row>
    <row r="265" spans="1:9" x14ac:dyDescent="0.2">
      <c r="A265" s="2">
        <v>15</v>
      </c>
      <c r="B265" s="1" t="s">
        <v>155</v>
      </c>
      <c r="C265" s="4">
        <v>24</v>
      </c>
      <c r="D265" s="8">
        <v>1.59</v>
      </c>
      <c r="E265" s="4">
        <v>13</v>
      </c>
      <c r="F265" s="8">
        <v>1.44</v>
      </c>
      <c r="G265" s="4">
        <v>11</v>
      </c>
      <c r="H265" s="8">
        <v>1.86</v>
      </c>
      <c r="I265" s="4">
        <v>0</v>
      </c>
    </row>
    <row r="266" spans="1:9" x14ac:dyDescent="0.2">
      <c r="A266" s="2">
        <v>15</v>
      </c>
      <c r="B266" s="1" t="s">
        <v>156</v>
      </c>
      <c r="C266" s="4">
        <v>24</v>
      </c>
      <c r="D266" s="8">
        <v>1.59</v>
      </c>
      <c r="E266" s="4">
        <v>15</v>
      </c>
      <c r="F266" s="8">
        <v>1.66</v>
      </c>
      <c r="G266" s="4">
        <v>9</v>
      </c>
      <c r="H266" s="8">
        <v>1.53</v>
      </c>
      <c r="I266" s="4">
        <v>0</v>
      </c>
    </row>
    <row r="267" spans="1:9" x14ac:dyDescent="0.2">
      <c r="A267" s="2">
        <v>15</v>
      </c>
      <c r="B267" s="1" t="s">
        <v>169</v>
      </c>
      <c r="C267" s="4">
        <v>24</v>
      </c>
      <c r="D267" s="8">
        <v>1.59</v>
      </c>
      <c r="E267" s="4">
        <v>15</v>
      </c>
      <c r="F267" s="8">
        <v>1.66</v>
      </c>
      <c r="G267" s="4">
        <v>9</v>
      </c>
      <c r="H267" s="8">
        <v>1.53</v>
      </c>
      <c r="I267" s="4">
        <v>0</v>
      </c>
    </row>
    <row r="268" spans="1:9" x14ac:dyDescent="0.2">
      <c r="A268" s="2">
        <v>18</v>
      </c>
      <c r="B268" s="1" t="s">
        <v>152</v>
      </c>
      <c r="C268" s="4">
        <v>23</v>
      </c>
      <c r="D268" s="8">
        <v>1.53</v>
      </c>
      <c r="E268" s="4">
        <v>12</v>
      </c>
      <c r="F268" s="8">
        <v>1.33</v>
      </c>
      <c r="G268" s="4">
        <v>11</v>
      </c>
      <c r="H268" s="8">
        <v>1.86</v>
      </c>
      <c r="I268" s="4">
        <v>0</v>
      </c>
    </row>
    <row r="269" spans="1:9" x14ac:dyDescent="0.2">
      <c r="A269" s="2">
        <v>19</v>
      </c>
      <c r="B269" s="1" t="s">
        <v>195</v>
      </c>
      <c r="C269" s="4">
        <v>22</v>
      </c>
      <c r="D269" s="8">
        <v>1.46</v>
      </c>
      <c r="E269" s="4">
        <v>20</v>
      </c>
      <c r="F269" s="8">
        <v>2.2200000000000002</v>
      </c>
      <c r="G269" s="4">
        <v>2</v>
      </c>
      <c r="H269" s="8">
        <v>0.34</v>
      </c>
      <c r="I269" s="4">
        <v>0</v>
      </c>
    </row>
    <row r="270" spans="1:9" x14ac:dyDescent="0.2">
      <c r="A270" s="2">
        <v>20</v>
      </c>
      <c r="B270" s="1" t="s">
        <v>177</v>
      </c>
      <c r="C270" s="4">
        <v>20</v>
      </c>
      <c r="D270" s="8">
        <v>1.33</v>
      </c>
      <c r="E270" s="4">
        <v>9</v>
      </c>
      <c r="F270" s="8">
        <v>1</v>
      </c>
      <c r="G270" s="4">
        <v>11</v>
      </c>
      <c r="H270" s="8">
        <v>1.86</v>
      </c>
      <c r="I270" s="4">
        <v>0</v>
      </c>
    </row>
    <row r="271" spans="1:9" x14ac:dyDescent="0.2">
      <c r="A271" s="1"/>
      <c r="C271" s="4"/>
      <c r="D271" s="8"/>
      <c r="E271" s="4"/>
      <c r="F271" s="8"/>
      <c r="G271" s="4"/>
      <c r="H271" s="8"/>
      <c r="I271" s="4"/>
    </row>
    <row r="272" spans="1:9" x14ac:dyDescent="0.2">
      <c r="A272" s="1" t="s">
        <v>12</v>
      </c>
      <c r="C272" s="4"/>
      <c r="D272" s="8"/>
      <c r="E272" s="4"/>
      <c r="F272" s="8"/>
      <c r="G272" s="4"/>
      <c r="H272" s="8"/>
      <c r="I272" s="4"/>
    </row>
    <row r="273" spans="1:9" x14ac:dyDescent="0.2">
      <c r="A273" s="2">
        <v>1</v>
      </c>
      <c r="B273" s="1" t="s">
        <v>164</v>
      </c>
      <c r="C273" s="4">
        <v>165</v>
      </c>
      <c r="D273" s="8">
        <v>5.82</v>
      </c>
      <c r="E273" s="4">
        <v>145</v>
      </c>
      <c r="F273" s="8">
        <v>12.21</v>
      </c>
      <c r="G273" s="4">
        <v>20</v>
      </c>
      <c r="H273" s="8">
        <v>1.22</v>
      </c>
      <c r="I273" s="4">
        <v>0</v>
      </c>
    </row>
    <row r="274" spans="1:9" x14ac:dyDescent="0.2">
      <c r="A274" s="2">
        <v>2</v>
      </c>
      <c r="B274" s="1" t="s">
        <v>162</v>
      </c>
      <c r="C274" s="4">
        <v>116</v>
      </c>
      <c r="D274" s="8">
        <v>4.09</v>
      </c>
      <c r="E274" s="4">
        <v>108</v>
      </c>
      <c r="F274" s="8">
        <v>9.09</v>
      </c>
      <c r="G274" s="4">
        <v>8</v>
      </c>
      <c r="H274" s="8">
        <v>0.49</v>
      </c>
      <c r="I274" s="4">
        <v>0</v>
      </c>
    </row>
    <row r="275" spans="1:9" x14ac:dyDescent="0.2">
      <c r="A275" s="2">
        <v>3</v>
      </c>
      <c r="B275" s="1" t="s">
        <v>163</v>
      </c>
      <c r="C275" s="4">
        <v>97</v>
      </c>
      <c r="D275" s="8">
        <v>3.42</v>
      </c>
      <c r="E275" s="4">
        <v>90</v>
      </c>
      <c r="F275" s="8">
        <v>7.58</v>
      </c>
      <c r="G275" s="4">
        <v>7</v>
      </c>
      <c r="H275" s="8">
        <v>0.43</v>
      </c>
      <c r="I275" s="4">
        <v>0</v>
      </c>
    </row>
    <row r="276" spans="1:9" x14ac:dyDescent="0.2">
      <c r="A276" s="2">
        <v>4</v>
      </c>
      <c r="B276" s="1" t="s">
        <v>161</v>
      </c>
      <c r="C276" s="4">
        <v>87</v>
      </c>
      <c r="D276" s="8">
        <v>3.07</v>
      </c>
      <c r="E276" s="4">
        <v>61</v>
      </c>
      <c r="F276" s="8">
        <v>5.13</v>
      </c>
      <c r="G276" s="4">
        <v>26</v>
      </c>
      <c r="H276" s="8">
        <v>1.59</v>
      </c>
      <c r="I276" s="4">
        <v>0</v>
      </c>
    </row>
    <row r="277" spans="1:9" x14ac:dyDescent="0.2">
      <c r="A277" s="2">
        <v>5</v>
      </c>
      <c r="B277" s="1" t="s">
        <v>177</v>
      </c>
      <c r="C277" s="4">
        <v>64</v>
      </c>
      <c r="D277" s="8">
        <v>2.2599999999999998</v>
      </c>
      <c r="E277" s="4">
        <v>13</v>
      </c>
      <c r="F277" s="8">
        <v>1.0900000000000001</v>
      </c>
      <c r="G277" s="4">
        <v>51</v>
      </c>
      <c r="H277" s="8">
        <v>3.12</v>
      </c>
      <c r="I277" s="4">
        <v>0</v>
      </c>
    </row>
    <row r="278" spans="1:9" x14ac:dyDescent="0.2">
      <c r="A278" s="2">
        <v>5</v>
      </c>
      <c r="B278" s="1" t="s">
        <v>156</v>
      </c>
      <c r="C278" s="4">
        <v>64</v>
      </c>
      <c r="D278" s="8">
        <v>2.2599999999999998</v>
      </c>
      <c r="E278" s="4">
        <v>31</v>
      </c>
      <c r="F278" s="8">
        <v>2.61</v>
      </c>
      <c r="G278" s="4">
        <v>33</v>
      </c>
      <c r="H278" s="8">
        <v>2.02</v>
      </c>
      <c r="I278" s="4">
        <v>0</v>
      </c>
    </row>
    <row r="279" spans="1:9" x14ac:dyDescent="0.2">
      <c r="A279" s="2">
        <v>5</v>
      </c>
      <c r="B279" s="1" t="s">
        <v>166</v>
      </c>
      <c r="C279" s="4">
        <v>64</v>
      </c>
      <c r="D279" s="8">
        <v>2.2599999999999998</v>
      </c>
      <c r="E279" s="4">
        <v>54</v>
      </c>
      <c r="F279" s="8">
        <v>4.55</v>
      </c>
      <c r="G279" s="4">
        <v>10</v>
      </c>
      <c r="H279" s="8">
        <v>0.61</v>
      </c>
      <c r="I279" s="4">
        <v>0</v>
      </c>
    </row>
    <row r="280" spans="1:9" x14ac:dyDescent="0.2">
      <c r="A280" s="2">
        <v>8</v>
      </c>
      <c r="B280" s="1" t="s">
        <v>158</v>
      </c>
      <c r="C280" s="4">
        <v>60</v>
      </c>
      <c r="D280" s="8">
        <v>2.12</v>
      </c>
      <c r="E280" s="4">
        <v>12</v>
      </c>
      <c r="F280" s="8">
        <v>1.01</v>
      </c>
      <c r="G280" s="4">
        <v>48</v>
      </c>
      <c r="H280" s="8">
        <v>2.94</v>
      </c>
      <c r="I280" s="4">
        <v>0</v>
      </c>
    </row>
    <row r="281" spans="1:9" x14ac:dyDescent="0.2">
      <c r="A281" s="2">
        <v>9</v>
      </c>
      <c r="B281" s="1" t="s">
        <v>152</v>
      </c>
      <c r="C281" s="4">
        <v>56</v>
      </c>
      <c r="D281" s="8">
        <v>1.98</v>
      </c>
      <c r="E281" s="4">
        <v>8</v>
      </c>
      <c r="F281" s="8">
        <v>0.67</v>
      </c>
      <c r="G281" s="4">
        <v>48</v>
      </c>
      <c r="H281" s="8">
        <v>2.94</v>
      </c>
      <c r="I281" s="4">
        <v>0</v>
      </c>
    </row>
    <row r="282" spans="1:9" x14ac:dyDescent="0.2">
      <c r="A282" s="2">
        <v>10</v>
      </c>
      <c r="B282" s="1" t="s">
        <v>148</v>
      </c>
      <c r="C282" s="4">
        <v>54</v>
      </c>
      <c r="D282" s="8">
        <v>1.9</v>
      </c>
      <c r="E282" s="4">
        <v>5</v>
      </c>
      <c r="F282" s="8">
        <v>0.42</v>
      </c>
      <c r="G282" s="4">
        <v>49</v>
      </c>
      <c r="H282" s="8">
        <v>3</v>
      </c>
      <c r="I282" s="4">
        <v>0</v>
      </c>
    </row>
    <row r="283" spans="1:9" x14ac:dyDescent="0.2">
      <c r="A283" s="2">
        <v>10</v>
      </c>
      <c r="B283" s="1" t="s">
        <v>153</v>
      </c>
      <c r="C283" s="4">
        <v>54</v>
      </c>
      <c r="D283" s="8">
        <v>1.9</v>
      </c>
      <c r="E283" s="4">
        <v>3</v>
      </c>
      <c r="F283" s="8">
        <v>0.25</v>
      </c>
      <c r="G283" s="4">
        <v>51</v>
      </c>
      <c r="H283" s="8">
        <v>3.12</v>
      </c>
      <c r="I283" s="4">
        <v>0</v>
      </c>
    </row>
    <row r="284" spans="1:9" x14ac:dyDescent="0.2">
      <c r="A284" s="2">
        <v>10</v>
      </c>
      <c r="B284" s="1" t="s">
        <v>168</v>
      </c>
      <c r="C284" s="4">
        <v>54</v>
      </c>
      <c r="D284" s="8">
        <v>1.9</v>
      </c>
      <c r="E284" s="4">
        <v>15</v>
      </c>
      <c r="F284" s="8">
        <v>1.26</v>
      </c>
      <c r="G284" s="4">
        <v>39</v>
      </c>
      <c r="H284" s="8">
        <v>2.39</v>
      </c>
      <c r="I284" s="4">
        <v>0</v>
      </c>
    </row>
    <row r="285" spans="1:9" x14ac:dyDescent="0.2">
      <c r="A285" s="2">
        <v>13</v>
      </c>
      <c r="B285" s="1" t="s">
        <v>193</v>
      </c>
      <c r="C285" s="4">
        <v>53</v>
      </c>
      <c r="D285" s="8">
        <v>1.87</v>
      </c>
      <c r="E285" s="4">
        <v>47</v>
      </c>
      <c r="F285" s="8">
        <v>3.96</v>
      </c>
      <c r="G285" s="4">
        <v>6</v>
      </c>
      <c r="H285" s="8">
        <v>0.37</v>
      </c>
      <c r="I285" s="4">
        <v>0</v>
      </c>
    </row>
    <row r="286" spans="1:9" x14ac:dyDescent="0.2">
      <c r="A286" s="2">
        <v>14</v>
      </c>
      <c r="B286" s="1" t="s">
        <v>165</v>
      </c>
      <c r="C286" s="4">
        <v>52</v>
      </c>
      <c r="D286" s="8">
        <v>1.83</v>
      </c>
      <c r="E286" s="4">
        <v>36</v>
      </c>
      <c r="F286" s="8">
        <v>3.03</v>
      </c>
      <c r="G286" s="4">
        <v>16</v>
      </c>
      <c r="H286" s="8">
        <v>0.98</v>
      </c>
      <c r="I286" s="4">
        <v>0</v>
      </c>
    </row>
    <row r="287" spans="1:9" x14ac:dyDescent="0.2">
      <c r="A287" s="2">
        <v>15</v>
      </c>
      <c r="B287" s="1" t="s">
        <v>169</v>
      </c>
      <c r="C287" s="4">
        <v>50</v>
      </c>
      <c r="D287" s="8">
        <v>1.76</v>
      </c>
      <c r="E287" s="4">
        <v>30</v>
      </c>
      <c r="F287" s="8">
        <v>2.5299999999999998</v>
      </c>
      <c r="G287" s="4">
        <v>20</v>
      </c>
      <c r="H287" s="8">
        <v>1.22</v>
      </c>
      <c r="I287" s="4">
        <v>0</v>
      </c>
    </row>
    <row r="288" spans="1:9" x14ac:dyDescent="0.2">
      <c r="A288" s="2">
        <v>16</v>
      </c>
      <c r="B288" s="1" t="s">
        <v>150</v>
      </c>
      <c r="C288" s="4">
        <v>48</v>
      </c>
      <c r="D288" s="8">
        <v>1.69</v>
      </c>
      <c r="E288" s="4">
        <v>9</v>
      </c>
      <c r="F288" s="8">
        <v>0.76</v>
      </c>
      <c r="G288" s="4">
        <v>39</v>
      </c>
      <c r="H288" s="8">
        <v>2.39</v>
      </c>
      <c r="I288" s="4">
        <v>0</v>
      </c>
    </row>
    <row r="289" spans="1:9" x14ac:dyDescent="0.2">
      <c r="A289" s="2">
        <v>17</v>
      </c>
      <c r="B289" s="1" t="s">
        <v>149</v>
      </c>
      <c r="C289" s="4">
        <v>45</v>
      </c>
      <c r="D289" s="8">
        <v>1.59</v>
      </c>
      <c r="E289" s="4">
        <v>3</v>
      </c>
      <c r="F289" s="8">
        <v>0.25</v>
      </c>
      <c r="G289" s="4">
        <v>42</v>
      </c>
      <c r="H289" s="8">
        <v>2.57</v>
      </c>
      <c r="I289" s="4">
        <v>0</v>
      </c>
    </row>
    <row r="290" spans="1:9" x14ac:dyDescent="0.2">
      <c r="A290" s="2">
        <v>18</v>
      </c>
      <c r="B290" s="1" t="s">
        <v>195</v>
      </c>
      <c r="C290" s="4">
        <v>42</v>
      </c>
      <c r="D290" s="8">
        <v>1.48</v>
      </c>
      <c r="E290" s="4">
        <v>41</v>
      </c>
      <c r="F290" s="8">
        <v>3.45</v>
      </c>
      <c r="G290" s="4">
        <v>1</v>
      </c>
      <c r="H290" s="8">
        <v>0.06</v>
      </c>
      <c r="I290" s="4">
        <v>0</v>
      </c>
    </row>
    <row r="291" spans="1:9" x14ac:dyDescent="0.2">
      <c r="A291" s="2">
        <v>19</v>
      </c>
      <c r="B291" s="1" t="s">
        <v>167</v>
      </c>
      <c r="C291" s="4">
        <v>41</v>
      </c>
      <c r="D291" s="8">
        <v>1.45</v>
      </c>
      <c r="E291" s="4">
        <v>26</v>
      </c>
      <c r="F291" s="8">
        <v>2.19</v>
      </c>
      <c r="G291" s="4">
        <v>15</v>
      </c>
      <c r="H291" s="8">
        <v>0.92</v>
      </c>
      <c r="I291" s="4">
        <v>0</v>
      </c>
    </row>
    <row r="292" spans="1:9" x14ac:dyDescent="0.2">
      <c r="A292" s="2">
        <v>20</v>
      </c>
      <c r="B292" s="1" t="s">
        <v>151</v>
      </c>
      <c r="C292" s="4">
        <v>39</v>
      </c>
      <c r="D292" s="8">
        <v>1.38</v>
      </c>
      <c r="E292" s="4">
        <v>7</v>
      </c>
      <c r="F292" s="8">
        <v>0.59</v>
      </c>
      <c r="G292" s="4">
        <v>32</v>
      </c>
      <c r="H292" s="8">
        <v>1.96</v>
      </c>
      <c r="I292" s="4">
        <v>0</v>
      </c>
    </row>
    <row r="293" spans="1:9" x14ac:dyDescent="0.2">
      <c r="A293" s="1"/>
      <c r="C293" s="4"/>
      <c r="D293" s="8"/>
      <c r="E293" s="4"/>
      <c r="F293" s="8"/>
      <c r="G293" s="4"/>
      <c r="H293" s="8"/>
      <c r="I293" s="4"/>
    </row>
    <row r="294" spans="1:9" x14ac:dyDescent="0.2">
      <c r="A294" s="1" t="s">
        <v>13</v>
      </c>
      <c r="C294" s="4"/>
      <c r="D294" s="8"/>
      <c r="E294" s="4"/>
      <c r="F294" s="8"/>
      <c r="G294" s="4"/>
      <c r="H294" s="8"/>
      <c r="I294" s="4"/>
    </row>
    <row r="295" spans="1:9" x14ac:dyDescent="0.2">
      <c r="A295" s="2">
        <v>1</v>
      </c>
      <c r="B295" s="1" t="s">
        <v>158</v>
      </c>
      <c r="C295" s="4">
        <v>389</v>
      </c>
      <c r="D295" s="8">
        <v>5.22</v>
      </c>
      <c r="E295" s="4">
        <v>154</v>
      </c>
      <c r="F295" s="8">
        <v>5.12</v>
      </c>
      <c r="G295" s="4">
        <v>235</v>
      </c>
      <c r="H295" s="8">
        <v>5.31</v>
      </c>
      <c r="I295" s="4">
        <v>0</v>
      </c>
    </row>
    <row r="296" spans="1:9" x14ac:dyDescent="0.2">
      <c r="A296" s="2">
        <v>2</v>
      </c>
      <c r="B296" s="1" t="s">
        <v>164</v>
      </c>
      <c r="C296" s="4">
        <v>381</v>
      </c>
      <c r="D296" s="8">
        <v>5.1100000000000003</v>
      </c>
      <c r="E296" s="4">
        <v>317</v>
      </c>
      <c r="F296" s="8">
        <v>10.55</v>
      </c>
      <c r="G296" s="4">
        <v>64</v>
      </c>
      <c r="H296" s="8">
        <v>1.45</v>
      </c>
      <c r="I296" s="4">
        <v>0</v>
      </c>
    </row>
    <row r="297" spans="1:9" x14ac:dyDescent="0.2">
      <c r="A297" s="2">
        <v>3</v>
      </c>
      <c r="B297" s="1" t="s">
        <v>162</v>
      </c>
      <c r="C297" s="4">
        <v>262</v>
      </c>
      <c r="D297" s="8">
        <v>3.51</v>
      </c>
      <c r="E297" s="4">
        <v>236</v>
      </c>
      <c r="F297" s="8">
        <v>7.85</v>
      </c>
      <c r="G297" s="4">
        <v>26</v>
      </c>
      <c r="H297" s="8">
        <v>0.59</v>
      </c>
      <c r="I297" s="4">
        <v>0</v>
      </c>
    </row>
    <row r="298" spans="1:9" x14ac:dyDescent="0.2">
      <c r="A298" s="2">
        <v>4</v>
      </c>
      <c r="B298" s="1" t="s">
        <v>163</v>
      </c>
      <c r="C298" s="4">
        <v>260</v>
      </c>
      <c r="D298" s="8">
        <v>3.49</v>
      </c>
      <c r="E298" s="4">
        <v>231</v>
      </c>
      <c r="F298" s="8">
        <v>7.68</v>
      </c>
      <c r="G298" s="4">
        <v>29</v>
      </c>
      <c r="H298" s="8">
        <v>0.65</v>
      </c>
      <c r="I298" s="4">
        <v>0</v>
      </c>
    </row>
    <row r="299" spans="1:9" x14ac:dyDescent="0.2">
      <c r="A299" s="2">
        <v>5</v>
      </c>
      <c r="B299" s="1" t="s">
        <v>166</v>
      </c>
      <c r="C299" s="4">
        <v>257</v>
      </c>
      <c r="D299" s="8">
        <v>3.45</v>
      </c>
      <c r="E299" s="4">
        <v>209</v>
      </c>
      <c r="F299" s="8">
        <v>6.95</v>
      </c>
      <c r="G299" s="4">
        <v>48</v>
      </c>
      <c r="H299" s="8">
        <v>1.08</v>
      </c>
      <c r="I299" s="4">
        <v>0</v>
      </c>
    </row>
    <row r="300" spans="1:9" x14ac:dyDescent="0.2">
      <c r="A300" s="2">
        <v>6</v>
      </c>
      <c r="B300" s="1" t="s">
        <v>161</v>
      </c>
      <c r="C300" s="4">
        <v>236</v>
      </c>
      <c r="D300" s="8">
        <v>3.16</v>
      </c>
      <c r="E300" s="4">
        <v>183</v>
      </c>
      <c r="F300" s="8">
        <v>6.09</v>
      </c>
      <c r="G300" s="4">
        <v>53</v>
      </c>
      <c r="H300" s="8">
        <v>1.2</v>
      </c>
      <c r="I300" s="4">
        <v>0</v>
      </c>
    </row>
    <row r="301" spans="1:9" x14ac:dyDescent="0.2">
      <c r="A301" s="2">
        <v>7</v>
      </c>
      <c r="B301" s="1" t="s">
        <v>165</v>
      </c>
      <c r="C301" s="4">
        <v>196</v>
      </c>
      <c r="D301" s="8">
        <v>2.63</v>
      </c>
      <c r="E301" s="4">
        <v>139</v>
      </c>
      <c r="F301" s="8">
        <v>4.62</v>
      </c>
      <c r="G301" s="4">
        <v>57</v>
      </c>
      <c r="H301" s="8">
        <v>1.29</v>
      </c>
      <c r="I301" s="4">
        <v>0</v>
      </c>
    </row>
    <row r="302" spans="1:9" x14ac:dyDescent="0.2">
      <c r="A302" s="2">
        <v>8</v>
      </c>
      <c r="B302" s="1" t="s">
        <v>171</v>
      </c>
      <c r="C302" s="4">
        <v>160</v>
      </c>
      <c r="D302" s="8">
        <v>2.15</v>
      </c>
      <c r="E302" s="4">
        <v>9</v>
      </c>
      <c r="F302" s="8">
        <v>0.3</v>
      </c>
      <c r="G302" s="4">
        <v>151</v>
      </c>
      <c r="H302" s="8">
        <v>3.41</v>
      </c>
      <c r="I302" s="4">
        <v>0</v>
      </c>
    </row>
    <row r="303" spans="1:9" x14ac:dyDescent="0.2">
      <c r="A303" s="2">
        <v>9</v>
      </c>
      <c r="B303" s="1" t="s">
        <v>159</v>
      </c>
      <c r="C303" s="4">
        <v>152</v>
      </c>
      <c r="D303" s="8">
        <v>2.04</v>
      </c>
      <c r="E303" s="4">
        <v>4</v>
      </c>
      <c r="F303" s="8">
        <v>0.13</v>
      </c>
      <c r="G303" s="4">
        <v>146</v>
      </c>
      <c r="H303" s="8">
        <v>3.3</v>
      </c>
      <c r="I303" s="4">
        <v>2</v>
      </c>
    </row>
    <row r="304" spans="1:9" x14ac:dyDescent="0.2">
      <c r="A304" s="2">
        <v>10</v>
      </c>
      <c r="B304" s="1" t="s">
        <v>156</v>
      </c>
      <c r="C304" s="4">
        <v>119</v>
      </c>
      <c r="D304" s="8">
        <v>1.6</v>
      </c>
      <c r="E304" s="4">
        <v>52</v>
      </c>
      <c r="F304" s="8">
        <v>1.73</v>
      </c>
      <c r="G304" s="4">
        <v>67</v>
      </c>
      <c r="H304" s="8">
        <v>1.51</v>
      </c>
      <c r="I304" s="4">
        <v>0</v>
      </c>
    </row>
    <row r="305" spans="1:9" x14ac:dyDescent="0.2">
      <c r="A305" s="2">
        <v>11</v>
      </c>
      <c r="B305" s="1" t="s">
        <v>151</v>
      </c>
      <c r="C305" s="4">
        <v>118</v>
      </c>
      <c r="D305" s="8">
        <v>1.58</v>
      </c>
      <c r="E305" s="4">
        <v>9</v>
      </c>
      <c r="F305" s="8">
        <v>0.3</v>
      </c>
      <c r="G305" s="4">
        <v>109</v>
      </c>
      <c r="H305" s="8">
        <v>2.46</v>
      </c>
      <c r="I305" s="4">
        <v>0</v>
      </c>
    </row>
    <row r="306" spans="1:9" x14ac:dyDescent="0.2">
      <c r="A306" s="2">
        <v>12</v>
      </c>
      <c r="B306" s="1" t="s">
        <v>157</v>
      </c>
      <c r="C306" s="4">
        <v>112</v>
      </c>
      <c r="D306" s="8">
        <v>1.5</v>
      </c>
      <c r="E306" s="4">
        <v>21</v>
      </c>
      <c r="F306" s="8">
        <v>0.7</v>
      </c>
      <c r="G306" s="4">
        <v>91</v>
      </c>
      <c r="H306" s="8">
        <v>2.06</v>
      </c>
      <c r="I306" s="4">
        <v>0</v>
      </c>
    </row>
    <row r="307" spans="1:9" x14ac:dyDescent="0.2">
      <c r="A307" s="2">
        <v>13</v>
      </c>
      <c r="B307" s="1" t="s">
        <v>152</v>
      </c>
      <c r="C307" s="4">
        <v>110</v>
      </c>
      <c r="D307" s="8">
        <v>1.47</v>
      </c>
      <c r="E307" s="4">
        <v>10</v>
      </c>
      <c r="F307" s="8">
        <v>0.33</v>
      </c>
      <c r="G307" s="4">
        <v>100</v>
      </c>
      <c r="H307" s="8">
        <v>2.2599999999999998</v>
      </c>
      <c r="I307" s="4">
        <v>0</v>
      </c>
    </row>
    <row r="308" spans="1:9" x14ac:dyDescent="0.2">
      <c r="A308" s="2">
        <v>14</v>
      </c>
      <c r="B308" s="1" t="s">
        <v>169</v>
      </c>
      <c r="C308" s="4">
        <v>105</v>
      </c>
      <c r="D308" s="8">
        <v>1.41</v>
      </c>
      <c r="E308" s="4">
        <v>63</v>
      </c>
      <c r="F308" s="8">
        <v>2.1</v>
      </c>
      <c r="G308" s="4">
        <v>42</v>
      </c>
      <c r="H308" s="8">
        <v>0.95</v>
      </c>
      <c r="I308" s="4">
        <v>0</v>
      </c>
    </row>
    <row r="309" spans="1:9" x14ac:dyDescent="0.2">
      <c r="A309" s="2">
        <v>15</v>
      </c>
      <c r="B309" s="1" t="s">
        <v>154</v>
      </c>
      <c r="C309" s="4">
        <v>103</v>
      </c>
      <c r="D309" s="8">
        <v>1.38</v>
      </c>
      <c r="E309" s="4">
        <v>55</v>
      </c>
      <c r="F309" s="8">
        <v>1.83</v>
      </c>
      <c r="G309" s="4">
        <v>48</v>
      </c>
      <c r="H309" s="8">
        <v>1.08</v>
      </c>
      <c r="I309" s="4">
        <v>0</v>
      </c>
    </row>
    <row r="310" spans="1:9" x14ac:dyDescent="0.2">
      <c r="A310" s="2">
        <v>16</v>
      </c>
      <c r="B310" s="1" t="s">
        <v>153</v>
      </c>
      <c r="C310" s="4">
        <v>102</v>
      </c>
      <c r="D310" s="8">
        <v>1.37</v>
      </c>
      <c r="E310" s="4">
        <v>6</v>
      </c>
      <c r="F310" s="8">
        <v>0.2</v>
      </c>
      <c r="G310" s="4">
        <v>96</v>
      </c>
      <c r="H310" s="8">
        <v>2.17</v>
      </c>
      <c r="I310" s="4">
        <v>0</v>
      </c>
    </row>
    <row r="311" spans="1:9" x14ac:dyDescent="0.2">
      <c r="A311" s="2">
        <v>17</v>
      </c>
      <c r="B311" s="1" t="s">
        <v>160</v>
      </c>
      <c r="C311" s="4">
        <v>96</v>
      </c>
      <c r="D311" s="8">
        <v>1.29</v>
      </c>
      <c r="E311" s="4">
        <v>22</v>
      </c>
      <c r="F311" s="8">
        <v>0.73</v>
      </c>
      <c r="G311" s="4">
        <v>72</v>
      </c>
      <c r="H311" s="8">
        <v>1.63</v>
      </c>
      <c r="I311" s="4">
        <v>1</v>
      </c>
    </row>
    <row r="312" spans="1:9" x14ac:dyDescent="0.2">
      <c r="A312" s="2">
        <v>18</v>
      </c>
      <c r="B312" s="1" t="s">
        <v>193</v>
      </c>
      <c r="C312" s="4">
        <v>92</v>
      </c>
      <c r="D312" s="8">
        <v>1.23</v>
      </c>
      <c r="E312" s="4">
        <v>80</v>
      </c>
      <c r="F312" s="8">
        <v>2.66</v>
      </c>
      <c r="G312" s="4">
        <v>12</v>
      </c>
      <c r="H312" s="8">
        <v>0.27</v>
      </c>
      <c r="I312" s="4">
        <v>0</v>
      </c>
    </row>
    <row r="313" spans="1:9" x14ac:dyDescent="0.2">
      <c r="A313" s="2">
        <v>19</v>
      </c>
      <c r="B313" s="1" t="s">
        <v>149</v>
      </c>
      <c r="C313" s="4">
        <v>89</v>
      </c>
      <c r="D313" s="8">
        <v>1.19</v>
      </c>
      <c r="E313" s="4">
        <v>5</v>
      </c>
      <c r="F313" s="8">
        <v>0.17</v>
      </c>
      <c r="G313" s="4">
        <v>84</v>
      </c>
      <c r="H313" s="8">
        <v>1.9</v>
      </c>
      <c r="I313" s="4">
        <v>0</v>
      </c>
    </row>
    <row r="314" spans="1:9" x14ac:dyDescent="0.2">
      <c r="A314" s="2">
        <v>20</v>
      </c>
      <c r="B314" s="1" t="s">
        <v>174</v>
      </c>
      <c r="C314" s="4">
        <v>85</v>
      </c>
      <c r="D314" s="8">
        <v>1.1399999999999999</v>
      </c>
      <c r="E314" s="4">
        <v>13</v>
      </c>
      <c r="F314" s="8">
        <v>0.43</v>
      </c>
      <c r="G314" s="4">
        <v>72</v>
      </c>
      <c r="H314" s="8">
        <v>1.63</v>
      </c>
      <c r="I314" s="4">
        <v>0</v>
      </c>
    </row>
    <row r="315" spans="1:9" x14ac:dyDescent="0.2">
      <c r="A315" s="1"/>
      <c r="C315" s="4"/>
      <c r="D315" s="8"/>
      <c r="E315" s="4"/>
      <c r="F315" s="8"/>
      <c r="G315" s="4"/>
      <c r="H315" s="8"/>
      <c r="I315" s="4"/>
    </row>
    <row r="316" spans="1:9" x14ac:dyDescent="0.2">
      <c r="A316" s="1" t="s">
        <v>14</v>
      </c>
      <c r="C316" s="4"/>
      <c r="D316" s="8"/>
      <c r="E316" s="4"/>
      <c r="F316" s="8"/>
      <c r="G316" s="4"/>
      <c r="H316" s="8"/>
      <c r="I316" s="4"/>
    </row>
    <row r="317" spans="1:9" x14ac:dyDescent="0.2">
      <c r="A317" s="2">
        <v>1</v>
      </c>
      <c r="B317" s="1" t="s">
        <v>164</v>
      </c>
      <c r="C317" s="4">
        <v>116</v>
      </c>
      <c r="D317" s="8">
        <v>4.22</v>
      </c>
      <c r="E317" s="4">
        <v>104</v>
      </c>
      <c r="F317" s="8">
        <v>9</v>
      </c>
      <c r="G317" s="4">
        <v>12</v>
      </c>
      <c r="H317" s="8">
        <v>0.77</v>
      </c>
      <c r="I317" s="4">
        <v>0</v>
      </c>
    </row>
    <row r="318" spans="1:9" x14ac:dyDescent="0.2">
      <c r="A318" s="2">
        <v>2</v>
      </c>
      <c r="B318" s="1" t="s">
        <v>163</v>
      </c>
      <c r="C318" s="4">
        <v>103</v>
      </c>
      <c r="D318" s="8">
        <v>3.74</v>
      </c>
      <c r="E318" s="4">
        <v>100</v>
      </c>
      <c r="F318" s="8">
        <v>8.66</v>
      </c>
      <c r="G318" s="4">
        <v>3</v>
      </c>
      <c r="H318" s="8">
        <v>0.19</v>
      </c>
      <c r="I318" s="4">
        <v>0</v>
      </c>
    </row>
    <row r="319" spans="1:9" x14ac:dyDescent="0.2">
      <c r="A319" s="2">
        <v>3</v>
      </c>
      <c r="B319" s="1" t="s">
        <v>158</v>
      </c>
      <c r="C319" s="4">
        <v>91</v>
      </c>
      <c r="D319" s="8">
        <v>3.31</v>
      </c>
      <c r="E319" s="4">
        <v>55</v>
      </c>
      <c r="F319" s="8">
        <v>4.76</v>
      </c>
      <c r="G319" s="4">
        <v>35</v>
      </c>
      <c r="H319" s="8">
        <v>2.25</v>
      </c>
      <c r="I319" s="4">
        <v>0</v>
      </c>
    </row>
    <row r="320" spans="1:9" x14ac:dyDescent="0.2">
      <c r="A320" s="2">
        <v>4</v>
      </c>
      <c r="B320" s="1" t="s">
        <v>155</v>
      </c>
      <c r="C320" s="4">
        <v>84</v>
      </c>
      <c r="D320" s="8">
        <v>3.05</v>
      </c>
      <c r="E320" s="4">
        <v>30</v>
      </c>
      <c r="F320" s="8">
        <v>2.6</v>
      </c>
      <c r="G320" s="4">
        <v>54</v>
      </c>
      <c r="H320" s="8">
        <v>3.47</v>
      </c>
      <c r="I320" s="4">
        <v>0</v>
      </c>
    </row>
    <row r="321" spans="1:9" x14ac:dyDescent="0.2">
      <c r="A321" s="2">
        <v>5</v>
      </c>
      <c r="B321" s="1" t="s">
        <v>161</v>
      </c>
      <c r="C321" s="4">
        <v>68</v>
      </c>
      <c r="D321" s="8">
        <v>2.4700000000000002</v>
      </c>
      <c r="E321" s="4">
        <v>59</v>
      </c>
      <c r="F321" s="8">
        <v>5.1100000000000003</v>
      </c>
      <c r="G321" s="4">
        <v>9</v>
      </c>
      <c r="H321" s="8">
        <v>0.57999999999999996</v>
      </c>
      <c r="I321" s="4">
        <v>0</v>
      </c>
    </row>
    <row r="322" spans="1:9" x14ac:dyDescent="0.2">
      <c r="A322" s="2">
        <v>6</v>
      </c>
      <c r="B322" s="1" t="s">
        <v>162</v>
      </c>
      <c r="C322" s="4">
        <v>60</v>
      </c>
      <c r="D322" s="8">
        <v>2.1800000000000002</v>
      </c>
      <c r="E322" s="4">
        <v>56</v>
      </c>
      <c r="F322" s="8">
        <v>4.8499999999999996</v>
      </c>
      <c r="G322" s="4">
        <v>4</v>
      </c>
      <c r="H322" s="8">
        <v>0.26</v>
      </c>
      <c r="I322" s="4">
        <v>0</v>
      </c>
    </row>
    <row r="323" spans="1:9" x14ac:dyDescent="0.2">
      <c r="A323" s="2">
        <v>7</v>
      </c>
      <c r="B323" s="1" t="s">
        <v>150</v>
      </c>
      <c r="C323" s="4">
        <v>53</v>
      </c>
      <c r="D323" s="8">
        <v>1.93</v>
      </c>
      <c r="E323" s="4">
        <v>23</v>
      </c>
      <c r="F323" s="8">
        <v>1.99</v>
      </c>
      <c r="G323" s="4">
        <v>30</v>
      </c>
      <c r="H323" s="8">
        <v>1.93</v>
      </c>
      <c r="I323" s="4">
        <v>0</v>
      </c>
    </row>
    <row r="324" spans="1:9" x14ac:dyDescent="0.2">
      <c r="A324" s="2">
        <v>7</v>
      </c>
      <c r="B324" s="1" t="s">
        <v>167</v>
      </c>
      <c r="C324" s="4">
        <v>53</v>
      </c>
      <c r="D324" s="8">
        <v>1.93</v>
      </c>
      <c r="E324" s="4">
        <v>31</v>
      </c>
      <c r="F324" s="8">
        <v>2.68</v>
      </c>
      <c r="G324" s="4">
        <v>22</v>
      </c>
      <c r="H324" s="8">
        <v>1.41</v>
      </c>
      <c r="I324" s="4">
        <v>0</v>
      </c>
    </row>
    <row r="325" spans="1:9" x14ac:dyDescent="0.2">
      <c r="A325" s="2">
        <v>9</v>
      </c>
      <c r="B325" s="1" t="s">
        <v>153</v>
      </c>
      <c r="C325" s="4">
        <v>52</v>
      </c>
      <c r="D325" s="8">
        <v>1.89</v>
      </c>
      <c r="E325" s="4">
        <v>6</v>
      </c>
      <c r="F325" s="8">
        <v>0.52</v>
      </c>
      <c r="G325" s="4">
        <v>46</v>
      </c>
      <c r="H325" s="8">
        <v>2.95</v>
      </c>
      <c r="I325" s="4">
        <v>0</v>
      </c>
    </row>
    <row r="326" spans="1:9" x14ac:dyDescent="0.2">
      <c r="A326" s="2">
        <v>9</v>
      </c>
      <c r="B326" s="1" t="s">
        <v>166</v>
      </c>
      <c r="C326" s="4">
        <v>52</v>
      </c>
      <c r="D326" s="8">
        <v>1.89</v>
      </c>
      <c r="E326" s="4">
        <v>45</v>
      </c>
      <c r="F326" s="8">
        <v>3.9</v>
      </c>
      <c r="G326" s="4">
        <v>7</v>
      </c>
      <c r="H326" s="8">
        <v>0.45</v>
      </c>
      <c r="I326" s="4">
        <v>0</v>
      </c>
    </row>
    <row r="327" spans="1:9" x14ac:dyDescent="0.2">
      <c r="A327" s="2">
        <v>11</v>
      </c>
      <c r="B327" s="1" t="s">
        <v>165</v>
      </c>
      <c r="C327" s="4">
        <v>51</v>
      </c>
      <c r="D327" s="8">
        <v>1.85</v>
      </c>
      <c r="E327" s="4">
        <v>34</v>
      </c>
      <c r="F327" s="8">
        <v>2.94</v>
      </c>
      <c r="G327" s="4">
        <v>17</v>
      </c>
      <c r="H327" s="8">
        <v>1.0900000000000001</v>
      </c>
      <c r="I327" s="4">
        <v>0</v>
      </c>
    </row>
    <row r="328" spans="1:9" x14ac:dyDescent="0.2">
      <c r="A328" s="2">
        <v>12</v>
      </c>
      <c r="B328" s="1" t="s">
        <v>149</v>
      </c>
      <c r="C328" s="4">
        <v>49</v>
      </c>
      <c r="D328" s="8">
        <v>1.78</v>
      </c>
      <c r="E328" s="4">
        <v>10</v>
      </c>
      <c r="F328" s="8">
        <v>0.87</v>
      </c>
      <c r="G328" s="4">
        <v>39</v>
      </c>
      <c r="H328" s="8">
        <v>2.5</v>
      </c>
      <c r="I328" s="4">
        <v>0</v>
      </c>
    </row>
    <row r="329" spans="1:9" x14ac:dyDescent="0.2">
      <c r="A329" s="2">
        <v>13</v>
      </c>
      <c r="B329" s="1" t="s">
        <v>157</v>
      </c>
      <c r="C329" s="4">
        <v>48</v>
      </c>
      <c r="D329" s="8">
        <v>1.74</v>
      </c>
      <c r="E329" s="4">
        <v>3</v>
      </c>
      <c r="F329" s="8">
        <v>0.26</v>
      </c>
      <c r="G329" s="4">
        <v>45</v>
      </c>
      <c r="H329" s="8">
        <v>2.89</v>
      </c>
      <c r="I329" s="4">
        <v>0</v>
      </c>
    </row>
    <row r="330" spans="1:9" x14ac:dyDescent="0.2">
      <c r="A330" s="2">
        <v>14</v>
      </c>
      <c r="B330" s="1" t="s">
        <v>156</v>
      </c>
      <c r="C330" s="4">
        <v>42</v>
      </c>
      <c r="D330" s="8">
        <v>1.53</v>
      </c>
      <c r="E330" s="4">
        <v>22</v>
      </c>
      <c r="F330" s="8">
        <v>1.9</v>
      </c>
      <c r="G330" s="4">
        <v>19</v>
      </c>
      <c r="H330" s="8">
        <v>1.22</v>
      </c>
      <c r="I330" s="4">
        <v>1</v>
      </c>
    </row>
    <row r="331" spans="1:9" x14ac:dyDescent="0.2">
      <c r="A331" s="2">
        <v>15</v>
      </c>
      <c r="B331" s="1" t="s">
        <v>148</v>
      </c>
      <c r="C331" s="4">
        <v>40</v>
      </c>
      <c r="D331" s="8">
        <v>1.45</v>
      </c>
      <c r="E331" s="4">
        <v>6</v>
      </c>
      <c r="F331" s="8">
        <v>0.52</v>
      </c>
      <c r="G331" s="4">
        <v>34</v>
      </c>
      <c r="H331" s="8">
        <v>2.1800000000000002</v>
      </c>
      <c r="I331" s="4">
        <v>0</v>
      </c>
    </row>
    <row r="332" spans="1:9" x14ac:dyDescent="0.2">
      <c r="A332" s="2">
        <v>16</v>
      </c>
      <c r="B332" s="1" t="s">
        <v>151</v>
      </c>
      <c r="C332" s="4">
        <v>37</v>
      </c>
      <c r="D332" s="8">
        <v>1.34</v>
      </c>
      <c r="E332" s="4">
        <v>10</v>
      </c>
      <c r="F332" s="8">
        <v>0.87</v>
      </c>
      <c r="G332" s="4">
        <v>27</v>
      </c>
      <c r="H332" s="8">
        <v>1.73</v>
      </c>
      <c r="I332" s="4">
        <v>0</v>
      </c>
    </row>
    <row r="333" spans="1:9" x14ac:dyDescent="0.2">
      <c r="A333" s="2">
        <v>16</v>
      </c>
      <c r="B333" s="1" t="s">
        <v>152</v>
      </c>
      <c r="C333" s="4">
        <v>37</v>
      </c>
      <c r="D333" s="8">
        <v>1.34</v>
      </c>
      <c r="E333" s="4">
        <v>6</v>
      </c>
      <c r="F333" s="8">
        <v>0.52</v>
      </c>
      <c r="G333" s="4">
        <v>31</v>
      </c>
      <c r="H333" s="8">
        <v>1.99</v>
      </c>
      <c r="I333" s="4">
        <v>0</v>
      </c>
    </row>
    <row r="334" spans="1:9" x14ac:dyDescent="0.2">
      <c r="A334" s="2">
        <v>18</v>
      </c>
      <c r="B334" s="1" t="s">
        <v>169</v>
      </c>
      <c r="C334" s="4">
        <v>36</v>
      </c>
      <c r="D334" s="8">
        <v>1.31</v>
      </c>
      <c r="E334" s="4">
        <v>27</v>
      </c>
      <c r="F334" s="8">
        <v>2.34</v>
      </c>
      <c r="G334" s="4">
        <v>9</v>
      </c>
      <c r="H334" s="8">
        <v>0.57999999999999996</v>
      </c>
      <c r="I334" s="4">
        <v>0</v>
      </c>
    </row>
    <row r="335" spans="1:9" x14ac:dyDescent="0.2">
      <c r="A335" s="2">
        <v>19</v>
      </c>
      <c r="B335" s="1" t="s">
        <v>160</v>
      </c>
      <c r="C335" s="4">
        <v>35</v>
      </c>
      <c r="D335" s="8">
        <v>1.27</v>
      </c>
      <c r="E335" s="4">
        <v>10</v>
      </c>
      <c r="F335" s="8">
        <v>0.87</v>
      </c>
      <c r="G335" s="4">
        <v>22</v>
      </c>
      <c r="H335" s="8">
        <v>1.41</v>
      </c>
      <c r="I335" s="4">
        <v>0</v>
      </c>
    </row>
    <row r="336" spans="1:9" x14ac:dyDescent="0.2">
      <c r="A336" s="2">
        <v>20</v>
      </c>
      <c r="B336" s="1" t="s">
        <v>196</v>
      </c>
      <c r="C336" s="4">
        <v>32</v>
      </c>
      <c r="D336" s="8">
        <v>1.1599999999999999</v>
      </c>
      <c r="E336" s="4">
        <v>11</v>
      </c>
      <c r="F336" s="8">
        <v>0.95</v>
      </c>
      <c r="G336" s="4">
        <v>21</v>
      </c>
      <c r="H336" s="8">
        <v>1.35</v>
      </c>
      <c r="I336" s="4">
        <v>0</v>
      </c>
    </row>
    <row r="337" spans="1:9" x14ac:dyDescent="0.2">
      <c r="A337" s="2">
        <v>20</v>
      </c>
      <c r="B337" s="1" t="s">
        <v>190</v>
      </c>
      <c r="C337" s="4">
        <v>32</v>
      </c>
      <c r="D337" s="8">
        <v>1.1599999999999999</v>
      </c>
      <c r="E337" s="4">
        <v>24</v>
      </c>
      <c r="F337" s="8">
        <v>2.08</v>
      </c>
      <c r="G337" s="4">
        <v>8</v>
      </c>
      <c r="H337" s="8">
        <v>0.51</v>
      </c>
      <c r="I337" s="4">
        <v>0</v>
      </c>
    </row>
    <row r="338" spans="1:9" x14ac:dyDescent="0.2">
      <c r="A338" s="2">
        <v>20</v>
      </c>
      <c r="B338" s="1" t="s">
        <v>170</v>
      </c>
      <c r="C338" s="4">
        <v>32</v>
      </c>
      <c r="D338" s="8">
        <v>1.1599999999999999</v>
      </c>
      <c r="E338" s="4">
        <v>30</v>
      </c>
      <c r="F338" s="8">
        <v>2.6</v>
      </c>
      <c r="G338" s="4">
        <v>2</v>
      </c>
      <c r="H338" s="8">
        <v>0.13</v>
      </c>
      <c r="I338" s="4">
        <v>0</v>
      </c>
    </row>
    <row r="339" spans="1:9" x14ac:dyDescent="0.2">
      <c r="A339" s="1"/>
      <c r="C339" s="4"/>
      <c r="D339" s="8"/>
      <c r="E339" s="4"/>
      <c r="F339" s="8"/>
      <c r="G339" s="4"/>
      <c r="H339" s="8"/>
      <c r="I339" s="4"/>
    </row>
    <row r="340" spans="1:9" x14ac:dyDescent="0.2">
      <c r="A340" s="1" t="s">
        <v>15</v>
      </c>
      <c r="C340" s="4"/>
      <c r="D340" s="8"/>
      <c r="E340" s="4"/>
      <c r="F340" s="8"/>
      <c r="G340" s="4"/>
      <c r="H340" s="8"/>
      <c r="I340" s="4"/>
    </row>
    <row r="341" spans="1:9" x14ac:dyDescent="0.2">
      <c r="A341" s="2">
        <v>1</v>
      </c>
      <c r="B341" s="1" t="s">
        <v>164</v>
      </c>
      <c r="C341" s="4">
        <v>122</v>
      </c>
      <c r="D341" s="8">
        <v>6.7</v>
      </c>
      <c r="E341" s="4">
        <v>103</v>
      </c>
      <c r="F341" s="8">
        <v>11.21</v>
      </c>
      <c r="G341" s="4">
        <v>19</v>
      </c>
      <c r="H341" s="8">
        <v>2.13</v>
      </c>
      <c r="I341" s="4">
        <v>0</v>
      </c>
    </row>
    <row r="342" spans="1:9" x14ac:dyDescent="0.2">
      <c r="A342" s="2">
        <v>2</v>
      </c>
      <c r="B342" s="1" t="s">
        <v>163</v>
      </c>
      <c r="C342" s="4">
        <v>96</v>
      </c>
      <c r="D342" s="8">
        <v>5.27</v>
      </c>
      <c r="E342" s="4">
        <v>90</v>
      </c>
      <c r="F342" s="8">
        <v>9.7899999999999991</v>
      </c>
      <c r="G342" s="4">
        <v>6</v>
      </c>
      <c r="H342" s="8">
        <v>0.67</v>
      </c>
      <c r="I342" s="4">
        <v>0</v>
      </c>
    </row>
    <row r="343" spans="1:9" x14ac:dyDescent="0.2">
      <c r="A343" s="2">
        <v>3</v>
      </c>
      <c r="B343" s="1" t="s">
        <v>162</v>
      </c>
      <c r="C343" s="4">
        <v>83</v>
      </c>
      <c r="D343" s="8">
        <v>4.5599999999999996</v>
      </c>
      <c r="E343" s="4">
        <v>79</v>
      </c>
      <c r="F343" s="8">
        <v>8.6</v>
      </c>
      <c r="G343" s="4">
        <v>4</v>
      </c>
      <c r="H343" s="8">
        <v>0.45</v>
      </c>
      <c r="I343" s="4">
        <v>0</v>
      </c>
    </row>
    <row r="344" spans="1:9" x14ac:dyDescent="0.2">
      <c r="A344" s="2">
        <v>4</v>
      </c>
      <c r="B344" s="1" t="s">
        <v>161</v>
      </c>
      <c r="C344" s="4">
        <v>57</v>
      </c>
      <c r="D344" s="8">
        <v>3.13</v>
      </c>
      <c r="E344" s="4">
        <v>44</v>
      </c>
      <c r="F344" s="8">
        <v>4.79</v>
      </c>
      <c r="G344" s="4">
        <v>13</v>
      </c>
      <c r="H344" s="8">
        <v>1.46</v>
      </c>
      <c r="I344" s="4">
        <v>0</v>
      </c>
    </row>
    <row r="345" spans="1:9" x14ac:dyDescent="0.2">
      <c r="A345" s="2">
        <v>5</v>
      </c>
      <c r="B345" s="1" t="s">
        <v>166</v>
      </c>
      <c r="C345" s="4">
        <v>55</v>
      </c>
      <c r="D345" s="8">
        <v>3.02</v>
      </c>
      <c r="E345" s="4">
        <v>46</v>
      </c>
      <c r="F345" s="8">
        <v>5.01</v>
      </c>
      <c r="G345" s="4">
        <v>9</v>
      </c>
      <c r="H345" s="8">
        <v>1.01</v>
      </c>
      <c r="I345" s="4">
        <v>0</v>
      </c>
    </row>
    <row r="346" spans="1:9" x14ac:dyDescent="0.2">
      <c r="A346" s="2">
        <v>6</v>
      </c>
      <c r="B346" s="1" t="s">
        <v>148</v>
      </c>
      <c r="C346" s="4">
        <v>42</v>
      </c>
      <c r="D346" s="8">
        <v>2.31</v>
      </c>
      <c r="E346" s="4">
        <v>6</v>
      </c>
      <c r="F346" s="8">
        <v>0.65</v>
      </c>
      <c r="G346" s="4">
        <v>36</v>
      </c>
      <c r="H346" s="8">
        <v>4.04</v>
      </c>
      <c r="I346" s="4">
        <v>0</v>
      </c>
    </row>
    <row r="347" spans="1:9" x14ac:dyDescent="0.2">
      <c r="A347" s="2">
        <v>7</v>
      </c>
      <c r="B347" s="1" t="s">
        <v>158</v>
      </c>
      <c r="C347" s="4">
        <v>41</v>
      </c>
      <c r="D347" s="8">
        <v>2.25</v>
      </c>
      <c r="E347" s="4">
        <v>2</v>
      </c>
      <c r="F347" s="8">
        <v>0.22</v>
      </c>
      <c r="G347" s="4">
        <v>39</v>
      </c>
      <c r="H347" s="8">
        <v>4.38</v>
      </c>
      <c r="I347" s="4">
        <v>0</v>
      </c>
    </row>
    <row r="348" spans="1:9" x14ac:dyDescent="0.2">
      <c r="A348" s="2">
        <v>8</v>
      </c>
      <c r="B348" s="1" t="s">
        <v>171</v>
      </c>
      <c r="C348" s="4">
        <v>37</v>
      </c>
      <c r="D348" s="8">
        <v>2.0299999999999998</v>
      </c>
      <c r="E348" s="4">
        <v>2</v>
      </c>
      <c r="F348" s="8">
        <v>0.22</v>
      </c>
      <c r="G348" s="4">
        <v>35</v>
      </c>
      <c r="H348" s="8">
        <v>3.93</v>
      </c>
      <c r="I348" s="4">
        <v>0</v>
      </c>
    </row>
    <row r="349" spans="1:9" x14ac:dyDescent="0.2">
      <c r="A349" s="2">
        <v>9</v>
      </c>
      <c r="B349" s="1" t="s">
        <v>153</v>
      </c>
      <c r="C349" s="4">
        <v>36</v>
      </c>
      <c r="D349" s="8">
        <v>1.98</v>
      </c>
      <c r="E349" s="4">
        <v>4</v>
      </c>
      <c r="F349" s="8">
        <v>0.44</v>
      </c>
      <c r="G349" s="4">
        <v>32</v>
      </c>
      <c r="H349" s="8">
        <v>3.59</v>
      </c>
      <c r="I349" s="4">
        <v>0</v>
      </c>
    </row>
    <row r="350" spans="1:9" x14ac:dyDescent="0.2">
      <c r="A350" s="2">
        <v>10</v>
      </c>
      <c r="B350" s="1" t="s">
        <v>156</v>
      </c>
      <c r="C350" s="4">
        <v>35</v>
      </c>
      <c r="D350" s="8">
        <v>1.92</v>
      </c>
      <c r="E350" s="4">
        <v>21</v>
      </c>
      <c r="F350" s="8">
        <v>2.29</v>
      </c>
      <c r="G350" s="4">
        <v>14</v>
      </c>
      <c r="H350" s="8">
        <v>1.57</v>
      </c>
      <c r="I350" s="4">
        <v>0</v>
      </c>
    </row>
    <row r="351" spans="1:9" x14ac:dyDescent="0.2">
      <c r="A351" s="2">
        <v>11</v>
      </c>
      <c r="B351" s="1" t="s">
        <v>155</v>
      </c>
      <c r="C351" s="4">
        <v>33</v>
      </c>
      <c r="D351" s="8">
        <v>1.81</v>
      </c>
      <c r="E351" s="4">
        <v>12</v>
      </c>
      <c r="F351" s="8">
        <v>1.31</v>
      </c>
      <c r="G351" s="4">
        <v>21</v>
      </c>
      <c r="H351" s="8">
        <v>2.36</v>
      </c>
      <c r="I351" s="4">
        <v>0</v>
      </c>
    </row>
    <row r="352" spans="1:9" x14ac:dyDescent="0.2">
      <c r="A352" s="2">
        <v>12</v>
      </c>
      <c r="B352" s="1" t="s">
        <v>152</v>
      </c>
      <c r="C352" s="4">
        <v>30</v>
      </c>
      <c r="D352" s="8">
        <v>1.65</v>
      </c>
      <c r="E352" s="4">
        <v>7</v>
      </c>
      <c r="F352" s="8">
        <v>0.76</v>
      </c>
      <c r="G352" s="4">
        <v>23</v>
      </c>
      <c r="H352" s="8">
        <v>2.58</v>
      </c>
      <c r="I352" s="4">
        <v>0</v>
      </c>
    </row>
    <row r="353" spans="1:9" x14ac:dyDescent="0.2">
      <c r="A353" s="2">
        <v>13</v>
      </c>
      <c r="B353" s="1" t="s">
        <v>165</v>
      </c>
      <c r="C353" s="4">
        <v>29</v>
      </c>
      <c r="D353" s="8">
        <v>1.59</v>
      </c>
      <c r="E353" s="4">
        <v>17</v>
      </c>
      <c r="F353" s="8">
        <v>1.85</v>
      </c>
      <c r="G353" s="4">
        <v>12</v>
      </c>
      <c r="H353" s="8">
        <v>1.35</v>
      </c>
      <c r="I353" s="4">
        <v>0</v>
      </c>
    </row>
    <row r="354" spans="1:9" x14ac:dyDescent="0.2">
      <c r="A354" s="2">
        <v>13</v>
      </c>
      <c r="B354" s="1" t="s">
        <v>167</v>
      </c>
      <c r="C354" s="4">
        <v>29</v>
      </c>
      <c r="D354" s="8">
        <v>1.59</v>
      </c>
      <c r="E354" s="4">
        <v>24</v>
      </c>
      <c r="F354" s="8">
        <v>2.61</v>
      </c>
      <c r="G354" s="4">
        <v>5</v>
      </c>
      <c r="H354" s="8">
        <v>0.56000000000000005</v>
      </c>
      <c r="I354" s="4">
        <v>0</v>
      </c>
    </row>
    <row r="355" spans="1:9" x14ac:dyDescent="0.2">
      <c r="A355" s="2">
        <v>15</v>
      </c>
      <c r="B355" s="1" t="s">
        <v>169</v>
      </c>
      <c r="C355" s="4">
        <v>28</v>
      </c>
      <c r="D355" s="8">
        <v>1.54</v>
      </c>
      <c r="E355" s="4">
        <v>16</v>
      </c>
      <c r="F355" s="8">
        <v>1.74</v>
      </c>
      <c r="G355" s="4">
        <v>12</v>
      </c>
      <c r="H355" s="8">
        <v>1.35</v>
      </c>
      <c r="I355" s="4">
        <v>0</v>
      </c>
    </row>
    <row r="356" spans="1:9" x14ac:dyDescent="0.2">
      <c r="A356" s="2">
        <v>16</v>
      </c>
      <c r="B356" s="1" t="s">
        <v>190</v>
      </c>
      <c r="C356" s="4">
        <v>27</v>
      </c>
      <c r="D356" s="8">
        <v>1.48</v>
      </c>
      <c r="E356" s="4">
        <v>23</v>
      </c>
      <c r="F356" s="8">
        <v>2.5</v>
      </c>
      <c r="G356" s="4">
        <v>4</v>
      </c>
      <c r="H356" s="8">
        <v>0.45</v>
      </c>
      <c r="I356" s="4">
        <v>0</v>
      </c>
    </row>
    <row r="357" spans="1:9" x14ac:dyDescent="0.2">
      <c r="A357" s="2">
        <v>16</v>
      </c>
      <c r="B357" s="1" t="s">
        <v>154</v>
      </c>
      <c r="C357" s="4">
        <v>27</v>
      </c>
      <c r="D357" s="8">
        <v>1.48</v>
      </c>
      <c r="E357" s="4">
        <v>16</v>
      </c>
      <c r="F357" s="8">
        <v>1.74</v>
      </c>
      <c r="G357" s="4">
        <v>11</v>
      </c>
      <c r="H357" s="8">
        <v>1.23</v>
      </c>
      <c r="I357" s="4">
        <v>0</v>
      </c>
    </row>
    <row r="358" spans="1:9" x14ac:dyDescent="0.2">
      <c r="A358" s="2">
        <v>16</v>
      </c>
      <c r="B358" s="1" t="s">
        <v>170</v>
      </c>
      <c r="C358" s="4">
        <v>27</v>
      </c>
      <c r="D358" s="8">
        <v>1.48</v>
      </c>
      <c r="E358" s="4">
        <v>27</v>
      </c>
      <c r="F358" s="8">
        <v>2.94</v>
      </c>
      <c r="G358" s="4">
        <v>0</v>
      </c>
      <c r="H358" s="8">
        <v>0</v>
      </c>
      <c r="I358" s="4">
        <v>0</v>
      </c>
    </row>
    <row r="359" spans="1:9" x14ac:dyDescent="0.2">
      <c r="A359" s="2">
        <v>19</v>
      </c>
      <c r="B359" s="1" t="s">
        <v>150</v>
      </c>
      <c r="C359" s="4">
        <v>26</v>
      </c>
      <c r="D359" s="8">
        <v>1.43</v>
      </c>
      <c r="E359" s="4">
        <v>10</v>
      </c>
      <c r="F359" s="8">
        <v>1.0900000000000001</v>
      </c>
      <c r="G359" s="4">
        <v>16</v>
      </c>
      <c r="H359" s="8">
        <v>1.8</v>
      </c>
      <c r="I359" s="4">
        <v>0</v>
      </c>
    </row>
    <row r="360" spans="1:9" x14ac:dyDescent="0.2">
      <c r="A360" s="2">
        <v>20</v>
      </c>
      <c r="B360" s="1" t="s">
        <v>177</v>
      </c>
      <c r="C360" s="4">
        <v>24</v>
      </c>
      <c r="D360" s="8">
        <v>1.32</v>
      </c>
      <c r="E360" s="4">
        <v>12</v>
      </c>
      <c r="F360" s="8">
        <v>1.31</v>
      </c>
      <c r="G360" s="4">
        <v>12</v>
      </c>
      <c r="H360" s="8">
        <v>1.35</v>
      </c>
      <c r="I360" s="4">
        <v>0</v>
      </c>
    </row>
    <row r="361" spans="1:9" x14ac:dyDescent="0.2">
      <c r="A361" s="2">
        <v>20</v>
      </c>
      <c r="B361" s="1" t="s">
        <v>168</v>
      </c>
      <c r="C361" s="4">
        <v>24</v>
      </c>
      <c r="D361" s="8">
        <v>1.32</v>
      </c>
      <c r="E361" s="4">
        <v>5</v>
      </c>
      <c r="F361" s="8">
        <v>0.54</v>
      </c>
      <c r="G361" s="4">
        <v>19</v>
      </c>
      <c r="H361" s="8">
        <v>2.13</v>
      </c>
      <c r="I361" s="4">
        <v>0</v>
      </c>
    </row>
    <row r="362" spans="1:9" x14ac:dyDescent="0.2">
      <c r="A362" s="2">
        <v>20</v>
      </c>
      <c r="B362" s="1" t="s">
        <v>180</v>
      </c>
      <c r="C362" s="4">
        <v>24</v>
      </c>
      <c r="D362" s="8">
        <v>1.32</v>
      </c>
      <c r="E362" s="4">
        <v>18</v>
      </c>
      <c r="F362" s="8">
        <v>1.96</v>
      </c>
      <c r="G362" s="4">
        <v>6</v>
      </c>
      <c r="H362" s="8">
        <v>0.67</v>
      </c>
      <c r="I362" s="4">
        <v>0</v>
      </c>
    </row>
    <row r="363" spans="1:9" x14ac:dyDescent="0.2">
      <c r="A363" s="1"/>
      <c r="C363" s="4"/>
      <c r="D363" s="8"/>
      <c r="E363" s="4"/>
      <c r="F363" s="8"/>
      <c r="G363" s="4"/>
      <c r="H363" s="8"/>
      <c r="I363" s="4"/>
    </row>
    <row r="364" spans="1:9" x14ac:dyDescent="0.2">
      <c r="A364" s="1" t="s">
        <v>16</v>
      </c>
      <c r="C364" s="4"/>
      <c r="D364" s="8"/>
      <c r="E364" s="4"/>
      <c r="F364" s="8"/>
      <c r="G364" s="4"/>
      <c r="H364" s="8"/>
      <c r="I364" s="4"/>
    </row>
    <row r="365" spans="1:9" x14ac:dyDescent="0.2">
      <c r="A365" s="2">
        <v>1</v>
      </c>
      <c r="B365" s="1" t="s">
        <v>164</v>
      </c>
      <c r="C365" s="4">
        <v>124</v>
      </c>
      <c r="D365" s="8">
        <v>4.8899999999999997</v>
      </c>
      <c r="E365" s="4">
        <v>107</v>
      </c>
      <c r="F365" s="8">
        <v>11.92</v>
      </c>
      <c r="G365" s="4">
        <v>17</v>
      </c>
      <c r="H365" s="8">
        <v>1.06</v>
      </c>
      <c r="I365" s="4">
        <v>0</v>
      </c>
    </row>
    <row r="366" spans="1:9" x14ac:dyDescent="0.2">
      <c r="A366" s="2">
        <v>2</v>
      </c>
      <c r="B366" s="1" t="s">
        <v>158</v>
      </c>
      <c r="C366" s="4">
        <v>85</v>
      </c>
      <c r="D366" s="8">
        <v>3.35</v>
      </c>
      <c r="E366" s="4">
        <v>22</v>
      </c>
      <c r="F366" s="8">
        <v>2.4500000000000002</v>
      </c>
      <c r="G366" s="4">
        <v>63</v>
      </c>
      <c r="H366" s="8">
        <v>3.94</v>
      </c>
      <c r="I366" s="4">
        <v>0</v>
      </c>
    </row>
    <row r="367" spans="1:9" x14ac:dyDescent="0.2">
      <c r="A367" s="2">
        <v>3</v>
      </c>
      <c r="B367" s="1" t="s">
        <v>163</v>
      </c>
      <c r="C367" s="4">
        <v>78</v>
      </c>
      <c r="D367" s="8">
        <v>3.08</v>
      </c>
      <c r="E367" s="4">
        <v>70</v>
      </c>
      <c r="F367" s="8">
        <v>7.8</v>
      </c>
      <c r="G367" s="4">
        <v>8</v>
      </c>
      <c r="H367" s="8">
        <v>0.5</v>
      </c>
      <c r="I367" s="4">
        <v>0</v>
      </c>
    </row>
    <row r="368" spans="1:9" x14ac:dyDescent="0.2">
      <c r="A368" s="2">
        <v>4</v>
      </c>
      <c r="B368" s="1" t="s">
        <v>161</v>
      </c>
      <c r="C368" s="4">
        <v>77</v>
      </c>
      <c r="D368" s="8">
        <v>3.04</v>
      </c>
      <c r="E368" s="4">
        <v>51</v>
      </c>
      <c r="F368" s="8">
        <v>5.68</v>
      </c>
      <c r="G368" s="4">
        <v>26</v>
      </c>
      <c r="H368" s="8">
        <v>1.63</v>
      </c>
      <c r="I368" s="4">
        <v>0</v>
      </c>
    </row>
    <row r="369" spans="1:9" x14ac:dyDescent="0.2">
      <c r="A369" s="2">
        <v>5</v>
      </c>
      <c r="B369" s="1" t="s">
        <v>156</v>
      </c>
      <c r="C369" s="4">
        <v>59</v>
      </c>
      <c r="D369" s="8">
        <v>2.33</v>
      </c>
      <c r="E369" s="4">
        <v>22</v>
      </c>
      <c r="F369" s="8">
        <v>2.4500000000000002</v>
      </c>
      <c r="G369" s="4">
        <v>37</v>
      </c>
      <c r="H369" s="8">
        <v>2.3199999999999998</v>
      </c>
      <c r="I369" s="4">
        <v>0</v>
      </c>
    </row>
    <row r="370" spans="1:9" x14ac:dyDescent="0.2">
      <c r="A370" s="2">
        <v>6</v>
      </c>
      <c r="B370" s="1" t="s">
        <v>166</v>
      </c>
      <c r="C370" s="4">
        <v>58</v>
      </c>
      <c r="D370" s="8">
        <v>2.29</v>
      </c>
      <c r="E370" s="4">
        <v>52</v>
      </c>
      <c r="F370" s="8">
        <v>5.79</v>
      </c>
      <c r="G370" s="4">
        <v>6</v>
      </c>
      <c r="H370" s="8">
        <v>0.38</v>
      </c>
      <c r="I370" s="4">
        <v>0</v>
      </c>
    </row>
    <row r="371" spans="1:9" x14ac:dyDescent="0.2">
      <c r="A371" s="2">
        <v>7</v>
      </c>
      <c r="B371" s="1" t="s">
        <v>148</v>
      </c>
      <c r="C371" s="4">
        <v>53</v>
      </c>
      <c r="D371" s="8">
        <v>2.09</v>
      </c>
      <c r="E371" s="4">
        <v>4</v>
      </c>
      <c r="F371" s="8">
        <v>0.45</v>
      </c>
      <c r="G371" s="4">
        <v>49</v>
      </c>
      <c r="H371" s="8">
        <v>3.07</v>
      </c>
      <c r="I371" s="4">
        <v>0</v>
      </c>
    </row>
    <row r="372" spans="1:9" x14ac:dyDescent="0.2">
      <c r="A372" s="2">
        <v>8</v>
      </c>
      <c r="B372" s="1" t="s">
        <v>162</v>
      </c>
      <c r="C372" s="4">
        <v>52</v>
      </c>
      <c r="D372" s="8">
        <v>2.0499999999999998</v>
      </c>
      <c r="E372" s="4">
        <v>44</v>
      </c>
      <c r="F372" s="8">
        <v>4.9000000000000004</v>
      </c>
      <c r="G372" s="4">
        <v>8</v>
      </c>
      <c r="H372" s="8">
        <v>0.5</v>
      </c>
      <c r="I372" s="4">
        <v>0</v>
      </c>
    </row>
    <row r="373" spans="1:9" x14ac:dyDescent="0.2">
      <c r="A373" s="2">
        <v>9</v>
      </c>
      <c r="B373" s="1" t="s">
        <v>157</v>
      </c>
      <c r="C373" s="4">
        <v>49</v>
      </c>
      <c r="D373" s="8">
        <v>1.93</v>
      </c>
      <c r="E373" s="4">
        <v>3</v>
      </c>
      <c r="F373" s="8">
        <v>0.33</v>
      </c>
      <c r="G373" s="4">
        <v>46</v>
      </c>
      <c r="H373" s="8">
        <v>2.88</v>
      </c>
      <c r="I373" s="4">
        <v>0</v>
      </c>
    </row>
    <row r="374" spans="1:9" x14ac:dyDescent="0.2">
      <c r="A374" s="2">
        <v>10</v>
      </c>
      <c r="B374" s="1" t="s">
        <v>150</v>
      </c>
      <c r="C374" s="4">
        <v>46</v>
      </c>
      <c r="D374" s="8">
        <v>1.82</v>
      </c>
      <c r="E374" s="4">
        <v>17</v>
      </c>
      <c r="F374" s="8">
        <v>1.89</v>
      </c>
      <c r="G374" s="4">
        <v>29</v>
      </c>
      <c r="H374" s="8">
        <v>1.81</v>
      </c>
      <c r="I374" s="4">
        <v>0</v>
      </c>
    </row>
    <row r="375" spans="1:9" x14ac:dyDescent="0.2">
      <c r="A375" s="2">
        <v>11</v>
      </c>
      <c r="B375" s="1" t="s">
        <v>192</v>
      </c>
      <c r="C375" s="4">
        <v>45</v>
      </c>
      <c r="D375" s="8">
        <v>1.78</v>
      </c>
      <c r="E375" s="4">
        <v>32</v>
      </c>
      <c r="F375" s="8">
        <v>3.56</v>
      </c>
      <c r="G375" s="4">
        <v>13</v>
      </c>
      <c r="H375" s="8">
        <v>0.81</v>
      </c>
      <c r="I375" s="4">
        <v>0</v>
      </c>
    </row>
    <row r="376" spans="1:9" x14ac:dyDescent="0.2">
      <c r="A376" s="2">
        <v>12</v>
      </c>
      <c r="B376" s="1" t="s">
        <v>177</v>
      </c>
      <c r="C376" s="4">
        <v>44</v>
      </c>
      <c r="D376" s="8">
        <v>1.74</v>
      </c>
      <c r="E376" s="4">
        <v>7</v>
      </c>
      <c r="F376" s="8">
        <v>0.78</v>
      </c>
      <c r="G376" s="4">
        <v>37</v>
      </c>
      <c r="H376" s="8">
        <v>2.3199999999999998</v>
      </c>
      <c r="I376" s="4">
        <v>0</v>
      </c>
    </row>
    <row r="377" spans="1:9" x14ac:dyDescent="0.2">
      <c r="A377" s="2">
        <v>13</v>
      </c>
      <c r="B377" s="1" t="s">
        <v>149</v>
      </c>
      <c r="C377" s="4">
        <v>42</v>
      </c>
      <c r="D377" s="8">
        <v>1.66</v>
      </c>
      <c r="E377" s="4">
        <v>8</v>
      </c>
      <c r="F377" s="8">
        <v>0.89</v>
      </c>
      <c r="G377" s="4">
        <v>34</v>
      </c>
      <c r="H377" s="8">
        <v>2.13</v>
      </c>
      <c r="I377" s="4">
        <v>0</v>
      </c>
    </row>
    <row r="378" spans="1:9" x14ac:dyDescent="0.2">
      <c r="A378" s="2">
        <v>13</v>
      </c>
      <c r="B378" s="1" t="s">
        <v>154</v>
      </c>
      <c r="C378" s="4">
        <v>42</v>
      </c>
      <c r="D378" s="8">
        <v>1.66</v>
      </c>
      <c r="E378" s="4">
        <v>15</v>
      </c>
      <c r="F378" s="8">
        <v>1.67</v>
      </c>
      <c r="G378" s="4">
        <v>27</v>
      </c>
      <c r="H378" s="8">
        <v>1.69</v>
      </c>
      <c r="I378" s="4">
        <v>0</v>
      </c>
    </row>
    <row r="379" spans="1:9" x14ac:dyDescent="0.2">
      <c r="A379" s="2">
        <v>13</v>
      </c>
      <c r="B379" s="1" t="s">
        <v>165</v>
      </c>
      <c r="C379" s="4">
        <v>42</v>
      </c>
      <c r="D379" s="8">
        <v>1.66</v>
      </c>
      <c r="E379" s="4">
        <v>20</v>
      </c>
      <c r="F379" s="8">
        <v>2.23</v>
      </c>
      <c r="G379" s="4">
        <v>22</v>
      </c>
      <c r="H379" s="8">
        <v>1.38</v>
      </c>
      <c r="I379" s="4">
        <v>0</v>
      </c>
    </row>
    <row r="380" spans="1:9" x14ac:dyDescent="0.2">
      <c r="A380" s="2">
        <v>16</v>
      </c>
      <c r="B380" s="1" t="s">
        <v>190</v>
      </c>
      <c r="C380" s="4">
        <v>39</v>
      </c>
      <c r="D380" s="8">
        <v>1.54</v>
      </c>
      <c r="E380" s="4">
        <v>19</v>
      </c>
      <c r="F380" s="8">
        <v>2.12</v>
      </c>
      <c r="G380" s="4">
        <v>20</v>
      </c>
      <c r="H380" s="8">
        <v>1.25</v>
      </c>
      <c r="I380" s="4">
        <v>0</v>
      </c>
    </row>
    <row r="381" spans="1:9" x14ac:dyDescent="0.2">
      <c r="A381" s="2">
        <v>17</v>
      </c>
      <c r="B381" s="1" t="s">
        <v>151</v>
      </c>
      <c r="C381" s="4">
        <v>35</v>
      </c>
      <c r="D381" s="8">
        <v>1.38</v>
      </c>
      <c r="E381" s="4">
        <v>3</v>
      </c>
      <c r="F381" s="8">
        <v>0.33</v>
      </c>
      <c r="G381" s="4">
        <v>32</v>
      </c>
      <c r="H381" s="8">
        <v>2</v>
      </c>
      <c r="I381" s="4">
        <v>0</v>
      </c>
    </row>
    <row r="382" spans="1:9" x14ac:dyDescent="0.2">
      <c r="A382" s="2">
        <v>17</v>
      </c>
      <c r="B382" s="1" t="s">
        <v>152</v>
      </c>
      <c r="C382" s="4">
        <v>35</v>
      </c>
      <c r="D382" s="8">
        <v>1.38</v>
      </c>
      <c r="E382" s="4">
        <v>7</v>
      </c>
      <c r="F382" s="8">
        <v>0.78</v>
      </c>
      <c r="G382" s="4">
        <v>28</v>
      </c>
      <c r="H382" s="8">
        <v>1.75</v>
      </c>
      <c r="I382" s="4">
        <v>0</v>
      </c>
    </row>
    <row r="383" spans="1:9" x14ac:dyDescent="0.2">
      <c r="A383" s="2">
        <v>17</v>
      </c>
      <c r="B383" s="1" t="s">
        <v>185</v>
      </c>
      <c r="C383" s="4">
        <v>35</v>
      </c>
      <c r="D383" s="8">
        <v>1.38</v>
      </c>
      <c r="E383" s="4">
        <v>4</v>
      </c>
      <c r="F383" s="8">
        <v>0.45</v>
      </c>
      <c r="G383" s="4">
        <v>31</v>
      </c>
      <c r="H383" s="8">
        <v>1.94</v>
      </c>
      <c r="I383" s="4">
        <v>0</v>
      </c>
    </row>
    <row r="384" spans="1:9" x14ac:dyDescent="0.2">
      <c r="A384" s="2">
        <v>17</v>
      </c>
      <c r="B384" s="1" t="s">
        <v>179</v>
      </c>
      <c r="C384" s="4">
        <v>35</v>
      </c>
      <c r="D384" s="8">
        <v>1.38</v>
      </c>
      <c r="E384" s="4">
        <v>21</v>
      </c>
      <c r="F384" s="8">
        <v>2.34</v>
      </c>
      <c r="G384" s="4">
        <v>14</v>
      </c>
      <c r="H384" s="8">
        <v>0.88</v>
      </c>
      <c r="I384" s="4">
        <v>0</v>
      </c>
    </row>
    <row r="385" spans="1:9" x14ac:dyDescent="0.2">
      <c r="A385" s="1"/>
      <c r="C385" s="4"/>
      <c r="D385" s="8"/>
      <c r="E385" s="4"/>
      <c r="F385" s="8"/>
      <c r="G385" s="4"/>
      <c r="H385" s="8"/>
      <c r="I385" s="4"/>
    </row>
    <row r="386" spans="1:9" x14ac:dyDescent="0.2">
      <c r="A386" s="1" t="s">
        <v>17</v>
      </c>
      <c r="C386" s="4"/>
      <c r="D386" s="8"/>
      <c r="E386" s="4"/>
      <c r="F386" s="8"/>
      <c r="G386" s="4"/>
      <c r="H386" s="8"/>
      <c r="I386" s="4"/>
    </row>
    <row r="387" spans="1:9" x14ac:dyDescent="0.2">
      <c r="A387" s="2">
        <v>1</v>
      </c>
      <c r="B387" s="1" t="s">
        <v>164</v>
      </c>
      <c r="C387" s="4">
        <v>148</v>
      </c>
      <c r="D387" s="8">
        <v>6.01</v>
      </c>
      <c r="E387" s="4">
        <v>123</v>
      </c>
      <c r="F387" s="8">
        <v>12.04</v>
      </c>
      <c r="G387" s="4">
        <v>25</v>
      </c>
      <c r="H387" s="8">
        <v>1.75</v>
      </c>
      <c r="I387" s="4">
        <v>0</v>
      </c>
    </row>
    <row r="388" spans="1:9" x14ac:dyDescent="0.2">
      <c r="A388" s="2">
        <v>2</v>
      </c>
      <c r="B388" s="1" t="s">
        <v>163</v>
      </c>
      <c r="C388" s="4">
        <v>93</v>
      </c>
      <c r="D388" s="8">
        <v>3.78</v>
      </c>
      <c r="E388" s="4">
        <v>86</v>
      </c>
      <c r="F388" s="8">
        <v>8.41</v>
      </c>
      <c r="G388" s="4">
        <v>7</v>
      </c>
      <c r="H388" s="8">
        <v>0.49</v>
      </c>
      <c r="I388" s="4">
        <v>0</v>
      </c>
    </row>
    <row r="389" spans="1:9" x14ac:dyDescent="0.2">
      <c r="A389" s="2">
        <v>3</v>
      </c>
      <c r="B389" s="1" t="s">
        <v>158</v>
      </c>
      <c r="C389" s="4">
        <v>79</v>
      </c>
      <c r="D389" s="8">
        <v>3.21</v>
      </c>
      <c r="E389" s="4">
        <v>19</v>
      </c>
      <c r="F389" s="8">
        <v>1.86</v>
      </c>
      <c r="G389" s="4">
        <v>59</v>
      </c>
      <c r="H389" s="8">
        <v>4.12</v>
      </c>
      <c r="I389" s="4">
        <v>0</v>
      </c>
    </row>
    <row r="390" spans="1:9" x14ac:dyDescent="0.2">
      <c r="A390" s="2">
        <v>4</v>
      </c>
      <c r="B390" s="1" t="s">
        <v>161</v>
      </c>
      <c r="C390" s="4">
        <v>77</v>
      </c>
      <c r="D390" s="8">
        <v>3.13</v>
      </c>
      <c r="E390" s="4">
        <v>58</v>
      </c>
      <c r="F390" s="8">
        <v>5.68</v>
      </c>
      <c r="G390" s="4">
        <v>19</v>
      </c>
      <c r="H390" s="8">
        <v>1.33</v>
      </c>
      <c r="I390" s="4">
        <v>0</v>
      </c>
    </row>
    <row r="391" spans="1:9" x14ac:dyDescent="0.2">
      <c r="A391" s="2">
        <v>4</v>
      </c>
      <c r="B391" s="1" t="s">
        <v>166</v>
      </c>
      <c r="C391" s="4">
        <v>77</v>
      </c>
      <c r="D391" s="8">
        <v>3.13</v>
      </c>
      <c r="E391" s="4">
        <v>64</v>
      </c>
      <c r="F391" s="8">
        <v>6.26</v>
      </c>
      <c r="G391" s="4">
        <v>13</v>
      </c>
      <c r="H391" s="8">
        <v>0.91</v>
      </c>
      <c r="I391" s="4">
        <v>0</v>
      </c>
    </row>
    <row r="392" spans="1:9" x14ac:dyDescent="0.2">
      <c r="A392" s="2">
        <v>6</v>
      </c>
      <c r="B392" s="1" t="s">
        <v>165</v>
      </c>
      <c r="C392" s="4">
        <v>76</v>
      </c>
      <c r="D392" s="8">
        <v>3.09</v>
      </c>
      <c r="E392" s="4">
        <v>53</v>
      </c>
      <c r="F392" s="8">
        <v>5.19</v>
      </c>
      <c r="G392" s="4">
        <v>23</v>
      </c>
      <c r="H392" s="8">
        <v>1.61</v>
      </c>
      <c r="I392" s="4">
        <v>0</v>
      </c>
    </row>
    <row r="393" spans="1:9" x14ac:dyDescent="0.2">
      <c r="A393" s="2">
        <v>7</v>
      </c>
      <c r="B393" s="1" t="s">
        <v>162</v>
      </c>
      <c r="C393" s="4">
        <v>67</v>
      </c>
      <c r="D393" s="8">
        <v>2.72</v>
      </c>
      <c r="E393" s="4">
        <v>61</v>
      </c>
      <c r="F393" s="8">
        <v>5.97</v>
      </c>
      <c r="G393" s="4">
        <v>6</v>
      </c>
      <c r="H393" s="8">
        <v>0.42</v>
      </c>
      <c r="I393" s="4">
        <v>0</v>
      </c>
    </row>
    <row r="394" spans="1:9" x14ac:dyDescent="0.2">
      <c r="A394" s="2">
        <v>8</v>
      </c>
      <c r="B394" s="1" t="s">
        <v>155</v>
      </c>
      <c r="C394" s="4">
        <v>51</v>
      </c>
      <c r="D394" s="8">
        <v>2.0699999999999998</v>
      </c>
      <c r="E394" s="4">
        <v>10</v>
      </c>
      <c r="F394" s="8">
        <v>0.98</v>
      </c>
      <c r="G394" s="4">
        <v>41</v>
      </c>
      <c r="H394" s="8">
        <v>2.86</v>
      </c>
      <c r="I394" s="4">
        <v>0</v>
      </c>
    </row>
    <row r="395" spans="1:9" x14ac:dyDescent="0.2">
      <c r="A395" s="2">
        <v>9</v>
      </c>
      <c r="B395" s="1" t="s">
        <v>167</v>
      </c>
      <c r="C395" s="4">
        <v>49</v>
      </c>
      <c r="D395" s="8">
        <v>1.99</v>
      </c>
      <c r="E395" s="4">
        <v>24</v>
      </c>
      <c r="F395" s="8">
        <v>2.35</v>
      </c>
      <c r="G395" s="4">
        <v>25</v>
      </c>
      <c r="H395" s="8">
        <v>1.75</v>
      </c>
      <c r="I395" s="4">
        <v>0</v>
      </c>
    </row>
    <row r="396" spans="1:9" x14ac:dyDescent="0.2">
      <c r="A396" s="2">
        <v>10</v>
      </c>
      <c r="B396" s="1" t="s">
        <v>156</v>
      </c>
      <c r="C396" s="4">
        <v>44</v>
      </c>
      <c r="D396" s="8">
        <v>1.79</v>
      </c>
      <c r="E396" s="4">
        <v>20</v>
      </c>
      <c r="F396" s="8">
        <v>1.96</v>
      </c>
      <c r="G396" s="4">
        <v>24</v>
      </c>
      <c r="H396" s="8">
        <v>1.68</v>
      </c>
      <c r="I396" s="4">
        <v>0</v>
      </c>
    </row>
    <row r="397" spans="1:9" x14ac:dyDescent="0.2">
      <c r="A397" s="2">
        <v>11</v>
      </c>
      <c r="B397" s="1" t="s">
        <v>157</v>
      </c>
      <c r="C397" s="4">
        <v>42</v>
      </c>
      <c r="D397" s="8">
        <v>1.71</v>
      </c>
      <c r="E397" s="4">
        <v>1</v>
      </c>
      <c r="F397" s="8">
        <v>0.1</v>
      </c>
      <c r="G397" s="4">
        <v>41</v>
      </c>
      <c r="H397" s="8">
        <v>2.86</v>
      </c>
      <c r="I397" s="4">
        <v>0</v>
      </c>
    </row>
    <row r="398" spans="1:9" x14ac:dyDescent="0.2">
      <c r="A398" s="2">
        <v>11</v>
      </c>
      <c r="B398" s="1" t="s">
        <v>160</v>
      </c>
      <c r="C398" s="4">
        <v>42</v>
      </c>
      <c r="D398" s="8">
        <v>1.71</v>
      </c>
      <c r="E398" s="4">
        <v>12</v>
      </c>
      <c r="F398" s="8">
        <v>1.17</v>
      </c>
      <c r="G398" s="4">
        <v>30</v>
      </c>
      <c r="H398" s="8">
        <v>2.09</v>
      </c>
      <c r="I398" s="4">
        <v>0</v>
      </c>
    </row>
    <row r="399" spans="1:9" x14ac:dyDescent="0.2">
      <c r="A399" s="2">
        <v>13</v>
      </c>
      <c r="B399" s="1" t="s">
        <v>195</v>
      </c>
      <c r="C399" s="4">
        <v>40</v>
      </c>
      <c r="D399" s="8">
        <v>1.62</v>
      </c>
      <c r="E399" s="4">
        <v>33</v>
      </c>
      <c r="F399" s="8">
        <v>3.23</v>
      </c>
      <c r="G399" s="4">
        <v>7</v>
      </c>
      <c r="H399" s="8">
        <v>0.49</v>
      </c>
      <c r="I399" s="4">
        <v>0</v>
      </c>
    </row>
    <row r="400" spans="1:9" x14ac:dyDescent="0.2">
      <c r="A400" s="2">
        <v>14</v>
      </c>
      <c r="B400" s="1" t="s">
        <v>154</v>
      </c>
      <c r="C400" s="4">
        <v>39</v>
      </c>
      <c r="D400" s="8">
        <v>1.58</v>
      </c>
      <c r="E400" s="4">
        <v>17</v>
      </c>
      <c r="F400" s="8">
        <v>1.66</v>
      </c>
      <c r="G400" s="4">
        <v>22</v>
      </c>
      <c r="H400" s="8">
        <v>1.54</v>
      </c>
      <c r="I400" s="4">
        <v>0</v>
      </c>
    </row>
    <row r="401" spans="1:9" x14ac:dyDescent="0.2">
      <c r="A401" s="2">
        <v>15</v>
      </c>
      <c r="B401" s="1" t="s">
        <v>151</v>
      </c>
      <c r="C401" s="4">
        <v>38</v>
      </c>
      <c r="D401" s="8">
        <v>1.54</v>
      </c>
      <c r="E401" s="4">
        <v>5</v>
      </c>
      <c r="F401" s="8">
        <v>0.49</v>
      </c>
      <c r="G401" s="4">
        <v>33</v>
      </c>
      <c r="H401" s="8">
        <v>2.2999999999999998</v>
      </c>
      <c r="I401" s="4">
        <v>0</v>
      </c>
    </row>
    <row r="402" spans="1:9" x14ac:dyDescent="0.2">
      <c r="A402" s="2">
        <v>15</v>
      </c>
      <c r="B402" s="1" t="s">
        <v>180</v>
      </c>
      <c r="C402" s="4">
        <v>38</v>
      </c>
      <c r="D402" s="8">
        <v>1.54</v>
      </c>
      <c r="E402" s="4">
        <v>26</v>
      </c>
      <c r="F402" s="8">
        <v>2.54</v>
      </c>
      <c r="G402" s="4">
        <v>12</v>
      </c>
      <c r="H402" s="8">
        <v>0.84</v>
      </c>
      <c r="I402" s="4">
        <v>0</v>
      </c>
    </row>
    <row r="403" spans="1:9" x14ac:dyDescent="0.2">
      <c r="A403" s="2">
        <v>17</v>
      </c>
      <c r="B403" s="1" t="s">
        <v>148</v>
      </c>
      <c r="C403" s="4">
        <v>36</v>
      </c>
      <c r="D403" s="8">
        <v>1.46</v>
      </c>
      <c r="E403" s="4">
        <v>0</v>
      </c>
      <c r="F403" s="8">
        <v>0</v>
      </c>
      <c r="G403" s="4">
        <v>36</v>
      </c>
      <c r="H403" s="8">
        <v>2.5099999999999998</v>
      </c>
      <c r="I403" s="4">
        <v>0</v>
      </c>
    </row>
    <row r="404" spans="1:9" x14ac:dyDescent="0.2">
      <c r="A404" s="2">
        <v>18</v>
      </c>
      <c r="B404" s="1" t="s">
        <v>150</v>
      </c>
      <c r="C404" s="4">
        <v>35</v>
      </c>
      <c r="D404" s="8">
        <v>1.42</v>
      </c>
      <c r="E404" s="4">
        <v>12</v>
      </c>
      <c r="F404" s="8">
        <v>1.17</v>
      </c>
      <c r="G404" s="4">
        <v>23</v>
      </c>
      <c r="H404" s="8">
        <v>1.61</v>
      </c>
      <c r="I404" s="4">
        <v>0</v>
      </c>
    </row>
    <row r="405" spans="1:9" x14ac:dyDescent="0.2">
      <c r="A405" s="2">
        <v>19</v>
      </c>
      <c r="B405" s="1" t="s">
        <v>168</v>
      </c>
      <c r="C405" s="4">
        <v>34</v>
      </c>
      <c r="D405" s="8">
        <v>1.38</v>
      </c>
      <c r="E405" s="4">
        <v>12</v>
      </c>
      <c r="F405" s="8">
        <v>1.17</v>
      </c>
      <c r="G405" s="4">
        <v>21</v>
      </c>
      <c r="H405" s="8">
        <v>1.47</v>
      </c>
      <c r="I405" s="4">
        <v>1</v>
      </c>
    </row>
    <row r="406" spans="1:9" x14ac:dyDescent="0.2">
      <c r="A406" s="2">
        <v>20</v>
      </c>
      <c r="B406" s="1" t="s">
        <v>149</v>
      </c>
      <c r="C406" s="4">
        <v>32</v>
      </c>
      <c r="D406" s="8">
        <v>1.3</v>
      </c>
      <c r="E406" s="4">
        <v>4</v>
      </c>
      <c r="F406" s="8">
        <v>0.39</v>
      </c>
      <c r="G406" s="4">
        <v>28</v>
      </c>
      <c r="H406" s="8">
        <v>1.96</v>
      </c>
      <c r="I406" s="4">
        <v>0</v>
      </c>
    </row>
    <row r="407" spans="1:9" x14ac:dyDescent="0.2">
      <c r="A407" s="2">
        <v>20</v>
      </c>
      <c r="B407" s="1" t="s">
        <v>153</v>
      </c>
      <c r="C407" s="4">
        <v>32</v>
      </c>
      <c r="D407" s="8">
        <v>1.3</v>
      </c>
      <c r="E407" s="4">
        <v>6</v>
      </c>
      <c r="F407" s="8">
        <v>0.59</v>
      </c>
      <c r="G407" s="4">
        <v>26</v>
      </c>
      <c r="H407" s="8">
        <v>1.82</v>
      </c>
      <c r="I407" s="4">
        <v>0</v>
      </c>
    </row>
    <row r="408" spans="1:9" x14ac:dyDescent="0.2">
      <c r="A408" s="1"/>
      <c r="C408" s="4"/>
      <c r="D408" s="8"/>
      <c r="E408" s="4"/>
      <c r="F408" s="8"/>
      <c r="G408" s="4"/>
      <c r="H408" s="8"/>
      <c r="I408" s="4"/>
    </row>
    <row r="409" spans="1:9" x14ac:dyDescent="0.2">
      <c r="A409" s="1" t="s">
        <v>18</v>
      </c>
      <c r="C409" s="4"/>
      <c r="D409" s="8"/>
      <c r="E409" s="4"/>
      <c r="F409" s="8"/>
      <c r="G409" s="4"/>
      <c r="H409" s="8"/>
      <c r="I409" s="4"/>
    </row>
    <row r="410" spans="1:9" x14ac:dyDescent="0.2">
      <c r="A410" s="2">
        <v>1</v>
      </c>
      <c r="B410" s="1" t="s">
        <v>164</v>
      </c>
      <c r="C410" s="4">
        <v>69</v>
      </c>
      <c r="D410" s="8">
        <v>5.28</v>
      </c>
      <c r="E410" s="4">
        <v>62</v>
      </c>
      <c r="F410" s="8">
        <v>9.98</v>
      </c>
      <c r="G410" s="4">
        <v>7</v>
      </c>
      <c r="H410" s="8">
        <v>1.06</v>
      </c>
      <c r="I410" s="4">
        <v>0</v>
      </c>
    </row>
    <row r="411" spans="1:9" x14ac:dyDescent="0.2">
      <c r="A411" s="2">
        <v>2</v>
      </c>
      <c r="B411" s="1" t="s">
        <v>162</v>
      </c>
      <c r="C411" s="4">
        <v>58</v>
      </c>
      <c r="D411" s="8">
        <v>4.4400000000000004</v>
      </c>
      <c r="E411" s="4">
        <v>54</v>
      </c>
      <c r="F411" s="8">
        <v>8.6999999999999993</v>
      </c>
      <c r="G411" s="4">
        <v>4</v>
      </c>
      <c r="H411" s="8">
        <v>0.6</v>
      </c>
      <c r="I411" s="4">
        <v>0</v>
      </c>
    </row>
    <row r="412" spans="1:9" x14ac:dyDescent="0.2">
      <c r="A412" s="2">
        <v>3</v>
      </c>
      <c r="B412" s="1" t="s">
        <v>163</v>
      </c>
      <c r="C412" s="4">
        <v>54</v>
      </c>
      <c r="D412" s="8">
        <v>4.13</v>
      </c>
      <c r="E412" s="4">
        <v>51</v>
      </c>
      <c r="F412" s="8">
        <v>8.2100000000000009</v>
      </c>
      <c r="G412" s="4">
        <v>3</v>
      </c>
      <c r="H412" s="8">
        <v>0.45</v>
      </c>
      <c r="I412" s="4">
        <v>0</v>
      </c>
    </row>
    <row r="413" spans="1:9" x14ac:dyDescent="0.2">
      <c r="A413" s="2">
        <v>4</v>
      </c>
      <c r="B413" s="1" t="s">
        <v>158</v>
      </c>
      <c r="C413" s="4">
        <v>51</v>
      </c>
      <c r="D413" s="8">
        <v>3.91</v>
      </c>
      <c r="E413" s="4">
        <v>27</v>
      </c>
      <c r="F413" s="8">
        <v>4.3499999999999996</v>
      </c>
      <c r="G413" s="4">
        <v>24</v>
      </c>
      <c r="H413" s="8">
        <v>3.63</v>
      </c>
      <c r="I413" s="4">
        <v>0</v>
      </c>
    </row>
    <row r="414" spans="1:9" x14ac:dyDescent="0.2">
      <c r="A414" s="2">
        <v>5</v>
      </c>
      <c r="B414" s="1" t="s">
        <v>167</v>
      </c>
      <c r="C414" s="4">
        <v>44</v>
      </c>
      <c r="D414" s="8">
        <v>3.37</v>
      </c>
      <c r="E414" s="4">
        <v>31</v>
      </c>
      <c r="F414" s="8">
        <v>4.99</v>
      </c>
      <c r="G414" s="4">
        <v>13</v>
      </c>
      <c r="H414" s="8">
        <v>1.96</v>
      </c>
      <c r="I414" s="4">
        <v>0</v>
      </c>
    </row>
    <row r="415" spans="1:9" x14ac:dyDescent="0.2">
      <c r="A415" s="2">
        <v>6</v>
      </c>
      <c r="B415" s="1" t="s">
        <v>161</v>
      </c>
      <c r="C415" s="4">
        <v>37</v>
      </c>
      <c r="D415" s="8">
        <v>2.83</v>
      </c>
      <c r="E415" s="4">
        <v>25</v>
      </c>
      <c r="F415" s="8">
        <v>4.03</v>
      </c>
      <c r="G415" s="4">
        <v>12</v>
      </c>
      <c r="H415" s="8">
        <v>1.81</v>
      </c>
      <c r="I415" s="4">
        <v>0</v>
      </c>
    </row>
    <row r="416" spans="1:9" x14ac:dyDescent="0.2">
      <c r="A416" s="2">
        <v>7</v>
      </c>
      <c r="B416" s="1" t="s">
        <v>166</v>
      </c>
      <c r="C416" s="4">
        <v>33</v>
      </c>
      <c r="D416" s="8">
        <v>2.5299999999999998</v>
      </c>
      <c r="E416" s="4">
        <v>29</v>
      </c>
      <c r="F416" s="8">
        <v>4.67</v>
      </c>
      <c r="G416" s="4">
        <v>4</v>
      </c>
      <c r="H416" s="8">
        <v>0.6</v>
      </c>
      <c r="I416" s="4">
        <v>0</v>
      </c>
    </row>
    <row r="417" spans="1:9" x14ac:dyDescent="0.2">
      <c r="A417" s="2">
        <v>8</v>
      </c>
      <c r="B417" s="1" t="s">
        <v>149</v>
      </c>
      <c r="C417" s="4">
        <v>29</v>
      </c>
      <c r="D417" s="8">
        <v>2.2200000000000002</v>
      </c>
      <c r="E417" s="4">
        <v>6</v>
      </c>
      <c r="F417" s="8">
        <v>0.97</v>
      </c>
      <c r="G417" s="4">
        <v>23</v>
      </c>
      <c r="H417" s="8">
        <v>3.47</v>
      </c>
      <c r="I417" s="4">
        <v>0</v>
      </c>
    </row>
    <row r="418" spans="1:9" x14ac:dyDescent="0.2">
      <c r="A418" s="2">
        <v>9</v>
      </c>
      <c r="B418" s="1" t="s">
        <v>152</v>
      </c>
      <c r="C418" s="4">
        <v>27</v>
      </c>
      <c r="D418" s="8">
        <v>2.0699999999999998</v>
      </c>
      <c r="E418" s="4">
        <v>6</v>
      </c>
      <c r="F418" s="8">
        <v>0.97</v>
      </c>
      <c r="G418" s="4">
        <v>21</v>
      </c>
      <c r="H418" s="8">
        <v>3.17</v>
      </c>
      <c r="I418" s="4">
        <v>0</v>
      </c>
    </row>
    <row r="419" spans="1:9" x14ac:dyDescent="0.2">
      <c r="A419" s="2">
        <v>10</v>
      </c>
      <c r="B419" s="1" t="s">
        <v>148</v>
      </c>
      <c r="C419" s="4">
        <v>24</v>
      </c>
      <c r="D419" s="8">
        <v>1.84</v>
      </c>
      <c r="E419" s="4">
        <v>1</v>
      </c>
      <c r="F419" s="8">
        <v>0.16</v>
      </c>
      <c r="G419" s="4">
        <v>23</v>
      </c>
      <c r="H419" s="8">
        <v>3.47</v>
      </c>
      <c r="I419" s="4">
        <v>0</v>
      </c>
    </row>
    <row r="420" spans="1:9" x14ac:dyDescent="0.2">
      <c r="A420" s="2">
        <v>10</v>
      </c>
      <c r="B420" s="1" t="s">
        <v>156</v>
      </c>
      <c r="C420" s="4">
        <v>24</v>
      </c>
      <c r="D420" s="8">
        <v>1.84</v>
      </c>
      <c r="E420" s="4">
        <v>15</v>
      </c>
      <c r="F420" s="8">
        <v>2.42</v>
      </c>
      <c r="G420" s="4">
        <v>9</v>
      </c>
      <c r="H420" s="8">
        <v>1.36</v>
      </c>
      <c r="I420" s="4">
        <v>0</v>
      </c>
    </row>
    <row r="421" spans="1:9" x14ac:dyDescent="0.2">
      <c r="A421" s="2">
        <v>12</v>
      </c>
      <c r="B421" s="1" t="s">
        <v>165</v>
      </c>
      <c r="C421" s="4">
        <v>22</v>
      </c>
      <c r="D421" s="8">
        <v>1.68</v>
      </c>
      <c r="E421" s="4">
        <v>20</v>
      </c>
      <c r="F421" s="8">
        <v>3.22</v>
      </c>
      <c r="G421" s="4">
        <v>2</v>
      </c>
      <c r="H421" s="8">
        <v>0.3</v>
      </c>
      <c r="I421" s="4">
        <v>0</v>
      </c>
    </row>
    <row r="422" spans="1:9" x14ac:dyDescent="0.2">
      <c r="A422" s="2">
        <v>13</v>
      </c>
      <c r="B422" s="1" t="s">
        <v>150</v>
      </c>
      <c r="C422" s="4">
        <v>21</v>
      </c>
      <c r="D422" s="8">
        <v>1.61</v>
      </c>
      <c r="E422" s="4">
        <v>14</v>
      </c>
      <c r="F422" s="8">
        <v>2.25</v>
      </c>
      <c r="G422" s="4">
        <v>7</v>
      </c>
      <c r="H422" s="8">
        <v>1.06</v>
      </c>
      <c r="I422" s="4">
        <v>0</v>
      </c>
    </row>
    <row r="423" spans="1:9" x14ac:dyDescent="0.2">
      <c r="A423" s="2">
        <v>13</v>
      </c>
      <c r="B423" s="1" t="s">
        <v>151</v>
      </c>
      <c r="C423" s="4">
        <v>21</v>
      </c>
      <c r="D423" s="8">
        <v>1.61</v>
      </c>
      <c r="E423" s="4">
        <v>5</v>
      </c>
      <c r="F423" s="8">
        <v>0.81</v>
      </c>
      <c r="G423" s="4">
        <v>16</v>
      </c>
      <c r="H423" s="8">
        <v>2.42</v>
      </c>
      <c r="I423" s="4">
        <v>0</v>
      </c>
    </row>
    <row r="424" spans="1:9" x14ac:dyDescent="0.2">
      <c r="A424" s="2">
        <v>13</v>
      </c>
      <c r="B424" s="1" t="s">
        <v>153</v>
      </c>
      <c r="C424" s="4">
        <v>21</v>
      </c>
      <c r="D424" s="8">
        <v>1.61</v>
      </c>
      <c r="E424" s="4">
        <v>4</v>
      </c>
      <c r="F424" s="8">
        <v>0.64</v>
      </c>
      <c r="G424" s="4">
        <v>17</v>
      </c>
      <c r="H424" s="8">
        <v>2.57</v>
      </c>
      <c r="I424" s="4">
        <v>0</v>
      </c>
    </row>
    <row r="425" spans="1:9" x14ac:dyDescent="0.2">
      <c r="A425" s="2">
        <v>16</v>
      </c>
      <c r="B425" s="1" t="s">
        <v>155</v>
      </c>
      <c r="C425" s="4">
        <v>20</v>
      </c>
      <c r="D425" s="8">
        <v>1.53</v>
      </c>
      <c r="E425" s="4">
        <v>5</v>
      </c>
      <c r="F425" s="8">
        <v>0.81</v>
      </c>
      <c r="G425" s="4">
        <v>15</v>
      </c>
      <c r="H425" s="8">
        <v>2.27</v>
      </c>
      <c r="I425" s="4">
        <v>0</v>
      </c>
    </row>
    <row r="426" spans="1:9" x14ac:dyDescent="0.2">
      <c r="A426" s="2">
        <v>17</v>
      </c>
      <c r="B426" s="1" t="s">
        <v>174</v>
      </c>
      <c r="C426" s="4">
        <v>19</v>
      </c>
      <c r="D426" s="8">
        <v>1.45</v>
      </c>
      <c r="E426" s="4">
        <v>4</v>
      </c>
      <c r="F426" s="8">
        <v>0.64</v>
      </c>
      <c r="G426" s="4">
        <v>15</v>
      </c>
      <c r="H426" s="8">
        <v>2.27</v>
      </c>
      <c r="I426" s="4">
        <v>0</v>
      </c>
    </row>
    <row r="427" spans="1:9" x14ac:dyDescent="0.2">
      <c r="A427" s="2">
        <v>18</v>
      </c>
      <c r="B427" s="1" t="s">
        <v>159</v>
      </c>
      <c r="C427" s="4">
        <v>17</v>
      </c>
      <c r="D427" s="8">
        <v>1.3</v>
      </c>
      <c r="E427" s="4">
        <v>0</v>
      </c>
      <c r="F427" s="8">
        <v>0</v>
      </c>
      <c r="G427" s="4">
        <v>17</v>
      </c>
      <c r="H427" s="8">
        <v>2.57</v>
      </c>
      <c r="I427" s="4">
        <v>0</v>
      </c>
    </row>
    <row r="428" spans="1:9" x14ac:dyDescent="0.2">
      <c r="A428" s="2">
        <v>19</v>
      </c>
      <c r="B428" s="1" t="s">
        <v>171</v>
      </c>
      <c r="C428" s="4">
        <v>16</v>
      </c>
      <c r="D428" s="8">
        <v>1.23</v>
      </c>
      <c r="E428" s="4">
        <v>1</v>
      </c>
      <c r="F428" s="8">
        <v>0.16</v>
      </c>
      <c r="G428" s="4">
        <v>15</v>
      </c>
      <c r="H428" s="8">
        <v>2.27</v>
      </c>
      <c r="I428" s="4">
        <v>0</v>
      </c>
    </row>
    <row r="429" spans="1:9" x14ac:dyDescent="0.2">
      <c r="A429" s="2">
        <v>19</v>
      </c>
      <c r="B429" s="1" t="s">
        <v>157</v>
      </c>
      <c r="C429" s="4">
        <v>16</v>
      </c>
      <c r="D429" s="8">
        <v>1.23</v>
      </c>
      <c r="E429" s="4">
        <v>3</v>
      </c>
      <c r="F429" s="8">
        <v>0.48</v>
      </c>
      <c r="G429" s="4">
        <v>13</v>
      </c>
      <c r="H429" s="8">
        <v>1.96</v>
      </c>
      <c r="I429" s="4">
        <v>0</v>
      </c>
    </row>
    <row r="430" spans="1:9" x14ac:dyDescent="0.2">
      <c r="A430" s="2">
        <v>19</v>
      </c>
      <c r="B430" s="1" t="s">
        <v>180</v>
      </c>
      <c r="C430" s="4">
        <v>16</v>
      </c>
      <c r="D430" s="8">
        <v>1.23</v>
      </c>
      <c r="E430" s="4">
        <v>12</v>
      </c>
      <c r="F430" s="8">
        <v>1.93</v>
      </c>
      <c r="G430" s="4">
        <v>4</v>
      </c>
      <c r="H430" s="8">
        <v>0.6</v>
      </c>
      <c r="I430" s="4">
        <v>0</v>
      </c>
    </row>
    <row r="431" spans="1:9" x14ac:dyDescent="0.2">
      <c r="A431" s="1"/>
      <c r="C431" s="4"/>
      <c r="D431" s="8"/>
      <c r="E431" s="4"/>
      <c r="F431" s="8"/>
      <c r="G431" s="4"/>
      <c r="H431" s="8"/>
      <c r="I431" s="4"/>
    </row>
    <row r="432" spans="1:9" x14ac:dyDescent="0.2">
      <c r="A432" s="1" t="s">
        <v>19</v>
      </c>
      <c r="C432" s="4"/>
      <c r="D432" s="8"/>
      <c r="E432" s="4"/>
      <c r="F432" s="8"/>
      <c r="G432" s="4"/>
      <c r="H432" s="8"/>
      <c r="I432" s="4"/>
    </row>
    <row r="433" spans="1:9" x14ac:dyDescent="0.2">
      <c r="A433" s="2">
        <v>1</v>
      </c>
      <c r="B433" s="1" t="s">
        <v>164</v>
      </c>
      <c r="C433" s="4">
        <v>103</v>
      </c>
      <c r="D433" s="8">
        <v>5.79</v>
      </c>
      <c r="E433" s="4">
        <v>102</v>
      </c>
      <c r="F433" s="8">
        <v>9</v>
      </c>
      <c r="G433" s="4">
        <v>1</v>
      </c>
      <c r="H433" s="8">
        <v>0.16</v>
      </c>
      <c r="I433" s="4">
        <v>0</v>
      </c>
    </row>
    <row r="434" spans="1:9" x14ac:dyDescent="0.2">
      <c r="A434" s="2">
        <v>2</v>
      </c>
      <c r="B434" s="1" t="s">
        <v>162</v>
      </c>
      <c r="C434" s="4">
        <v>77</v>
      </c>
      <c r="D434" s="8">
        <v>4.33</v>
      </c>
      <c r="E434" s="4">
        <v>73</v>
      </c>
      <c r="F434" s="8">
        <v>6.44</v>
      </c>
      <c r="G434" s="4">
        <v>4</v>
      </c>
      <c r="H434" s="8">
        <v>0.65</v>
      </c>
      <c r="I434" s="4">
        <v>0</v>
      </c>
    </row>
    <row r="435" spans="1:9" x14ac:dyDescent="0.2">
      <c r="A435" s="2">
        <v>3</v>
      </c>
      <c r="B435" s="1" t="s">
        <v>163</v>
      </c>
      <c r="C435" s="4">
        <v>69</v>
      </c>
      <c r="D435" s="8">
        <v>3.88</v>
      </c>
      <c r="E435" s="4">
        <v>67</v>
      </c>
      <c r="F435" s="8">
        <v>5.91</v>
      </c>
      <c r="G435" s="4">
        <v>2</v>
      </c>
      <c r="H435" s="8">
        <v>0.32</v>
      </c>
      <c r="I435" s="4">
        <v>0</v>
      </c>
    </row>
    <row r="436" spans="1:9" x14ac:dyDescent="0.2">
      <c r="A436" s="2">
        <v>4</v>
      </c>
      <c r="B436" s="1" t="s">
        <v>150</v>
      </c>
      <c r="C436" s="4">
        <v>66</v>
      </c>
      <c r="D436" s="8">
        <v>3.71</v>
      </c>
      <c r="E436" s="4">
        <v>38</v>
      </c>
      <c r="F436" s="8">
        <v>3.35</v>
      </c>
      <c r="G436" s="4">
        <v>28</v>
      </c>
      <c r="H436" s="8">
        <v>4.53</v>
      </c>
      <c r="I436" s="4">
        <v>0</v>
      </c>
    </row>
    <row r="437" spans="1:9" x14ac:dyDescent="0.2">
      <c r="A437" s="2">
        <v>5</v>
      </c>
      <c r="B437" s="1" t="s">
        <v>161</v>
      </c>
      <c r="C437" s="4">
        <v>56</v>
      </c>
      <c r="D437" s="8">
        <v>3.15</v>
      </c>
      <c r="E437" s="4">
        <v>51</v>
      </c>
      <c r="F437" s="8">
        <v>4.5</v>
      </c>
      <c r="G437" s="4">
        <v>5</v>
      </c>
      <c r="H437" s="8">
        <v>0.81</v>
      </c>
      <c r="I437" s="4">
        <v>0</v>
      </c>
    </row>
    <row r="438" spans="1:9" x14ac:dyDescent="0.2">
      <c r="A438" s="2">
        <v>6</v>
      </c>
      <c r="B438" s="1" t="s">
        <v>154</v>
      </c>
      <c r="C438" s="4">
        <v>48</v>
      </c>
      <c r="D438" s="8">
        <v>2.7</v>
      </c>
      <c r="E438" s="4">
        <v>39</v>
      </c>
      <c r="F438" s="8">
        <v>3.44</v>
      </c>
      <c r="G438" s="4">
        <v>9</v>
      </c>
      <c r="H438" s="8">
        <v>1.46</v>
      </c>
      <c r="I438" s="4">
        <v>0</v>
      </c>
    </row>
    <row r="439" spans="1:9" x14ac:dyDescent="0.2">
      <c r="A439" s="2">
        <v>6</v>
      </c>
      <c r="B439" s="1" t="s">
        <v>167</v>
      </c>
      <c r="C439" s="4">
        <v>48</v>
      </c>
      <c r="D439" s="8">
        <v>2.7</v>
      </c>
      <c r="E439" s="4">
        <v>41</v>
      </c>
      <c r="F439" s="8">
        <v>3.62</v>
      </c>
      <c r="G439" s="4">
        <v>7</v>
      </c>
      <c r="H439" s="8">
        <v>1.1299999999999999</v>
      </c>
      <c r="I439" s="4">
        <v>0</v>
      </c>
    </row>
    <row r="440" spans="1:9" x14ac:dyDescent="0.2">
      <c r="A440" s="2">
        <v>8</v>
      </c>
      <c r="B440" s="1" t="s">
        <v>152</v>
      </c>
      <c r="C440" s="4">
        <v>41</v>
      </c>
      <c r="D440" s="8">
        <v>2.2999999999999998</v>
      </c>
      <c r="E440" s="4">
        <v>25</v>
      </c>
      <c r="F440" s="8">
        <v>2.21</v>
      </c>
      <c r="G440" s="4">
        <v>16</v>
      </c>
      <c r="H440" s="8">
        <v>2.59</v>
      </c>
      <c r="I440" s="4">
        <v>0</v>
      </c>
    </row>
    <row r="441" spans="1:9" x14ac:dyDescent="0.2">
      <c r="A441" s="2">
        <v>9</v>
      </c>
      <c r="B441" s="1" t="s">
        <v>158</v>
      </c>
      <c r="C441" s="4">
        <v>36</v>
      </c>
      <c r="D441" s="8">
        <v>2.02</v>
      </c>
      <c r="E441" s="4">
        <v>18</v>
      </c>
      <c r="F441" s="8">
        <v>1.59</v>
      </c>
      <c r="G441" s="4">
        <v>17</v>
      </c>
      <c r="H441" s="8">
        <v>2.75</v>
      </c>
      <c r="I441" s="4">
        <v>0</v>
      </c>
    </row>
    <row r="442" spans="1:9" x14ac:dyDescent="0.2">
      <c r="A442" s="2">
        <v>10</v>
      </c>
      <c r="B442" s="1" t="s">
        <v>148</v>
      </c>
      <c r="C442" s="4">
        <v>35</v>
      </c>
      <c r="D442" s="8">
        <v>1.97</v>
      </c>
      <c r="E442" s="4">
        <v>3</v>
      </c>
      <c r="F442" s="8">
        <v>0.26</v>
      </c>
      <c r="G442" s="4">
        <v>32</v>
      </c>
      <c r="H442" s="8">
        <v>5.18</v>
      </c>
      <c r="I442" s="4">
        <v>0</v>
      </c>
    </row>
    <row r="443" spans="1:9" x14ac:dyDescent="0.2">
      <c r="A443" s="2">
        <v>10</v>
      </c>
      <c r="B443" s="1" t="s">
        <v>155</v>
      </c>
      <c r="C443" s="4">
        <v>35</v>
      </c>
      <c r="D443" s="8">
        <v>1.97</v>
      </c>
      <c r="E443" s="4">
        <v>20</v>
      </c>
      <c r="F443" s="8">
        <v>1.77</v>
      </c>
      <c r="G443" s="4">
        <v>15</v>
      </c>
      <c r="H443" s="8">
        <v>2.4300000000000002</v>
      </c>
      <c r="I443" s="4">
        <v>0</v>
      </c>
    </row>
    <row r="444" spans="1:9" x14ac:dyDescent="0.2">
      <c r="A444" s="2">
        <v>12</v>
      </c>
      <c r="B444" s="1" t="s">
        <v>149</v>
      </c>
      <c r="C444" s="4">
        <v>34</v>
      </c>
      <c r="D444" s="8">
        <v>1.91</v>
      </c>
      <c r="E444" s="4">
        <v>11</v>
      </c>
      <c r="F444" s="8">
        <v>0.97</v>
      </c>
      <c r="G444" s="4">
        <v>23</v>
      </c>
      <c r="H444" s="8">
        <v>3.72</v>
      </c>
      <c r="I444" s="4">
        <v>0</v>
      </c>
    </row>
    <row r="445" spans="1:9" x14ac:dyDescent="0.2">
      <c r="A445" s="2">
        <v>13</v>
      </c>
      <c r="B445" s="1" t="s">
        <v>166</v>
      </c>
      <c r="C445" s="4">
        <v>33</v>
      </c>
      <c r="D445" s="8">
        <v>1.85</v>
      </c>
      <c r="E445" s="4">
        <v>33</v>
      </c>
      <c r="F445" s="8">
        <v>2.91</v>
      </c>
      <c r="G445" s="4">
        <v>0</v>
      </c>
      <c r="H445" s="8">
        <v>0</v>
      </c>
      <c r="I445" s="4">
        <v>0</v>
      </c>
    </row>
    <row r="446" spans="1:9" x14ac:dyDescent="0.2">
      <c r="A446" s="2">
        <v>14</v>
      </c>
      <c r="B446" s="1" t="s">
        <v>153</v>
      </c>
      <c r="C446" s="4">
        <v>32</v>
      </c>
      <c r="D446" s="8">
        <v>1.8</v>
      </c>
      <c r="E446" s="4">
        <v>15</v>
      </c>
      <c r="F446" s="8">
        <v>1.32</v>
      </c>
      <c r="G446" s="4">
        <v>17</v>
      </c>
      <c r="H446" s="8">
        <v>2.75</v>
      </c>
      <c r="I446" s="4">
        <v>0</v>
      </c>
    </row>
    <row r="447" spans="1:9" x14ac:dyDescent="0.2">
      <c r="A447" s="2">
        <v>15</v>
      </c>
      <c r="B447" s="1" t="s">
        <v>156</v>
      </c>
      <c r="C447" s="4">
        <v>31</v>
      </c>
      <c r="D447" s="8">
        <v>1.74</v>
      </c>
      <c r="E447" s="4">
        <v>21</v>
      </c>
      <c r="F447" s="8">
        <v>1.85</v>
      </c>
      <c r="G447" s="4">
        <v>10</v>
      </c>
      <c r="H447" s="8">
        <v>1.62</v>
      </c>
      <c r="I447" s="4">
        <v>0</v>
      </c>
    </row>
    <row r="448" spans="1:9" x14ac:dyDescent="0.2">
      <c r="A448" s="2">
        <v>16</v>
      </c>
      <c r="B448" s="1" t="s">
        <v>197</v>
      </c>
      <c r="C448" s="4">
        <v>30</v>
      </c>
      <c r="D448" s="8">
        <v>1.69</v>
      </c>
      <c r="E448" s="4">
        <v>28</v>
      </c>
      <c r="F448" s="8">
        <v>2.4700000000000002</v>
      </c>
      <c r="G448" s="4">
        <v>2</v>
      </c>
      <c r="H448" s="8">
        <v>0.32</v>
      </c>
      <c r="I448" s="4">
        <v>0</v>
      </c>
    </row>
    <row r="449" spans="1:9" x14ac:dyDescent="0.2">
      <c r="A449" s="2">
        <v>17</v>
      </c>
      <c r="B449" s="1" t="s">
        <v>168</v>
      </c>
      <c r="C449" s="4">
        <v>29</v>
      </c>
      <c r="D449" s="8">
        <v>1.63</v>
      </c>
      <c r="E449" s="4">
        <v>15</v>
      </c>
      <c r="F449" s="8">
        <v>1.32</v>
      </c>
      <c r="G449" s="4">
        <v>14</v>
      </c>
      <c r="H449" s="8">
        <v>2.27</v>
      </c>
      <c r="I449" s="4">
        <v>0</v>
      </c>
    </row>
    <row r="450" spans="1:9" x14ac:dyDescent="0.2">
      <c r="A450" s="2">
        <v>18</v>
      </c>
      <c r="B450" s="1" t="s">
        <v>192</v>
      </c>
      <c r="C450" s="4">
        <v>28</v>
      </c>
      <c r="D450" s="8">
        <v>1.57</v>
      </c>
      <c r="E450" s="4">
        <v>24</v>
      </c>
      <c r="F450" s="8">
        <v>2.12</v>
      </c>
      <c r="G450" s="4">
        <v>4</v>
      </c>
      <c r="H450" s="8">
        <v>0.65</v>
      </c>
      <c r="I450" s="4">
        <v>0</v>
      </c>
    </row>
    <row r="451" spans="1:9" x14ac:dyDescent="0.2">
      <c r="A451" s="2">
        <v>19</v>
      </c>
      <c r="B451" s="1" t="s">
        <v>190</v>
      </c>
      <c r="C451" s="4">
        <v>27</v>
      </c>
      <c r="D451" s="8">
        <v>1.52</v>
      </c>
      <c r="E451" s="4">
        <v>21</v>
      </c>
      <c r="F451" s="8">
        <v>1.85</v>
      </c>
      <c r="G451" s="4">
        <v>6</v>
      </c>
      <c r="H451" s="8">
        <v>0.97</v>
      </c>
      <c r="I451" s="4">
        <v>0</v>
      </c>
    </row>
    <row r="452" spans="1:9" x14ac:dyDescent="0.2">
      <c r="A452" s="2">
        <v>20</v>
      </c>
      <c r="B452" s="1" t="s">
        <v>191</v>
      </c>
      <c r="C452" s="4">
        <v>26</v>
      </c>
      <c r="D452" s="8">
        <v>1.46</v>
      </c>
      <c r="E452" s="4">
        <v>8</v>
      </c>
      <c r="F452" s="8">
        <v>0.71</v>
      </c>
      <c r="G452" s="4">
        <v>18</v>
      </c>
      <c r="H452" s="8">
        <v>2.91</v>
      </c>
      <c r="I452" s="4">
        <v>0</v>
      </c>
    </row>
    <row r="453" spans="1:9" x14ac:dyDescent="0.2">
      <c r="A453" s="1"/>
      <c r="C453" s="4"/>
      <c r="D453" s="8"/>
      <c r="E453" s="4"/>
      <c r="F453" s="8"/>
      <c r="G453" s="4"/>
      <c r="H453" s="8"/>
      <c r="I453" s="4"/>
    </row>
    <row r="454" spans="1:9" x14ac:dyDescent="0.2">
      <c r="A454" s="1" t="s">
        <v>20</v>
      </c>
      <c r="C454" s="4"/>
      <c r="D454" s="8"/>
      <c r="E454" s="4"/>
      <c r="F454" s="8"/>
      <c r="G454" s="4"/>
      <c r="H454" s="8"/>
      <c r="I454" s="4"/>
    </row>
    <row r="455" spans="1:9" x14ac:dyDescent="0.2">
      <c r="A455" s="2">
        <v>1</v>
      </c>
      <c r="B455" s="1" t="s">
        <v>158</v>
      </c>
      <c r="C455" s="4">
        <v>163</v>
      </c>
      <c r="D455" s="8">
        <v>7.96</v>
      </c>
      <c r="E455" s="4">
        <v>69</v>
      </c>
      <c r="F455" s="8">
        <v>8.18</v>
      </c>
      <c r="G455" s="4">
        <v>94</v>
      </c>
      <c r="H455" s="8">
        <v>7.86</v>
      </c>
      <c r="I455" s="4">
        <v>0</v>
      </c>
    </row>
    <row r="456" spans="1:9" x14ac:dyDescent="0.2">
      <c r="A456" s="2">
        <v>2</v>
      </c>
      <c r="B456" s="1" t="s">
        <v>164</v>
      </c>
      <c r="C456" s="4">
        <v>102</v>
      </c>
      <c r="D456" s="8">
        <v>4.9800000000000004</v>
      </c>
      <c r="E456" s="4">
        <v>86</v>
      </c>
      <c r="F456" s="8">
        <v>10.19</v>
      </c>
      <c r="G456" s="4">
        <v>16</v>
      </c>
      <c r="H456" s="8">
        <v>1.34</v>
      </c>
      <c r="I456" s="4">
        <v>0</v>
      </c>
    </row>
    <row r="457" spans="1:9" x14ac:dyDescent="0.2">
      <c r="A457" s="2">
        <v>3</v>
      </c>
      <c r="B457" s="1" t="s">
        <v>162</v>
      </c>
      <c r="C457" s="4">
        <v>79</v>
      </c>
      <c r="D457" s="8">
        <v>3.86</v>
      </c>
      <c r="E457" s="4">
        <v>72</v>
      </c>
      <c r="F457" s="8">
        <v>8.5299999999999994</v>
      </c>
      <c r="G457" s="4">
        <v>7</v>
      </c>
      <c r="H457" s="8">
        <v>0.59</v>
      </c>
      <c r="I457" s="4">
        <v>0</v>
      </c>
    </row>
    <row r="458" spans="1:9" x14ac:dyDescent="0.2">
      <c r="A458" s="2">
        <v>3</v>
      </c>
      <c r="B458" s="1" t="s">
        <v>163</v>
      </c>
      <c r="C458" s="4">
        <v>79</v>
      </c>
      <c r="D458" s="8">
        <v>3.86</v>
      </c>
      <c r="E458" s="4">
        <v>66</v>
      </c>
      <c r="F458" s="8">
        <v>7.82</v>
      </c>
      <c r="G458" s="4">
        <v>13</v>
      </c>
      <c r="H458" s="8">
        <v>1.0900000000000001</v>
      </c>
      <c r="I458" s="4">
        <v>0</v>
      </c>
    </row>
    <row r="459" spans="1:9" x14ac:dyDescent="0.2">
      <c r="A459" s="2">
        <v>5</v>
      </c>
      <c r="B459" s="1" t="s">
        <v>166</v>
      </c>
      <c r="C459" s="4">
        <v>69</v>
      </c>
      <c r="D459" s="8">
        <v>3.37</v>
      </c>
      <c r="E459" s="4">
        <v>50</v>
      </c>
      <c r="F459" s="8">
        <v>5.92</v>
      </c>
      <c r="G459" s="4">
        <v>19</v>
      </c>
      <c r="H459" s="8">
        <v>1.59</v>
      </c>
      <c r="I459" s="4">
        <v>0</v>
      </c>
    </row>
    <row r="460" spans="1:9" x14ac:dyDescent="0.2">
      <c r="A460" s="2">
        <v>6</v>
      </c>
      <c r="B460" s="1" t="s">
        <v>165</v>
      </c>
      <c r="C460" s="4">
        <v>67</v>
      </c>
      <c r="D460" s="8">
        <v>3.27</v>
      </c>
      <c r="E460" s="4">
        <v>46</v>
      </c>
      <c r="F460" s="8">
        <v>5.45</v>
      </c>
      <c r="G460" s="4">
        <v>20</v>
      </c>
      <c r="H460" s="8">
        <v>1.67</v>
      </c>
      <c r="I460" s="4">
        <v>1</v>
      </c>
    </row>
    <row r="461" spans="1:9" x14ac:dyDescent="0.2">
      <c r="A461" s="2">
        <v>7</v>
      </c>
      <c r="B461" s="1" t="s">
        <v>161</v>
      </c>
      <c r="C461" s="4">
        <v>60</v>
      </c>
      <c r="D461" s="8">
        <v>2.93</v>
      </c>
      <c r="E461" s="4">
        <v>41</v>
      </c>
      <c r="F461" s="8">
        <v>4.8600000000000003</v>
      </c>
      <c r="G461" s="4">
        <v>19</v>
      </c>
      <c r="H461" s="8">
        <v>1.59</v>
      </c>
      <c r="I461" s="4">
        <v>0</v>
      </c>
    </row>
    <row r="462" spans="1:9" x14ac:dyDescent="0.2">
      <c r="A462" s="2">
        <v>8</v>
      </c>
      <c r="B462" s="1" t="s">
        <v>160</v>
      </c>
      <c r="C462" s="4">
        <v>47</v>
      </c>
      <c r="D462" s="8">
        <v>2.29</v>
      </c>
      <c r="E462" s="4">
        <v>7</v>
      </c>
      <c r="F462" s="8">
        <v>0.83</v>
      </c>
      <c r="G462" s="4">
        <v>40</v>
      </c>
      <c r="H462" s="8">
        <v>3.34</v>
      </c>
      <c r="I462" s="4">
        <v>0</v>
      </c>
    </row>
    <row r="463" spans="1:9" x14ac:dyDescent="0.2">
      <c r="A463" s="2">
        <v>9</v>
      </c>
      <c r="B463" s="1" t="s">
        <v>156</v>
      </c>
      <c r="C463" s="4">
        <v>42</v>
      </c>
      <c r="D463" s="8">
        <v>2.0499999999999998</v>
      </c>
      <c r="E463" s="4">
        <v>19</v>
      </c>
      <c r="F463" s="8">
        <v>2.25</v>
      </c>
      <c r="G463" s="4">
        <v>23</v>
      </c>
      <c r="H463" s="8">
        <v>1.92</v>
      </c>
      <c r="I463" s="4">
        <v>0</v>
      </c>
    </row>
    <row r="464" spans="1:9" x14ac:dyDescent="0.2">
      <c r="A464" s="2">
        <v>10</v>
      </c>
      <c r="B464" s="1" t="s">
        <v>178</v>
      </c>
      <c r="C464" s="4">
        <v>41</v>
      </c>
      <c r="D464" s="8">
        <v>2</v>
      </c>
      <c r="E464" s="4">
        <v>3</v>
      </c>
      <c r="F464" s="8">
        <v>0.36</v>
      </c>
      <c r="G464" s="4">
        <v>38</v>
      </c>
      <c r="H464" s="8">
        <v>3.18</v>
      </c>
      <c r="I464" s="4">
        <v>0</v>
      </c>
    </row>
    <row r="465" spans="1:9" x14ac:dyDescent="0.2">
      <c r="A465" s="2">
        <v>11</v>
      </c>
      <c r="B465" s="1" t="s">
        <v>157</v>
      </c>
      <c r="C465" s="4">
        <v>38</v>
      </c>
      <c r="D465" s="8">
        <v>1.86</v>
      </c>
      <c r="E465" s="4">
        <v>6</v>
      </c>
      <c r="F465" s="8">
        <v>0.71</v>
      </c>
      <c r="G465" s="4">
        <v>31</v>
      </c>
      <c r="H465" s="8">
        <v>2.59</v>
      </c>
      <c r="I465" s="4">
        <v>1</v>
      </c>
    </row>
    <row r="466" spans="1:9" x14ac:dyDescent="0.2">
      <c r="A466" s="2">
        <v>12</v>
      </c>
      <c r="B466" s="1" t="s">
        <v>170</v>
      </c>
      <c r="C466" s="4">
        <v>34</v>
      </c>
      <c r="D466" s="8">
        <v>1.66</v>
      </c>
      <c r="E466" s="4">
        <v>31</v>
      </c>
      <c r="F466" s="8">
        <v>3.67</v>
      </c>
      <c r="G466" s="4">
        <v>2</v>
      </c>
      <c r="H466" s="8">
        <v>0.17</v>
      </c>
      <c r="I466" s="4">
        <v>0</v>
      </c>
    </row>
    <row r="467" spans="1:9" x14ac:dyDescent="0.2">
      <c r="A467" s="2">
        <v>13</v>
      </c>
      <c r="B467" s="1" t="s">
        <v>171</v>
      </c>
      <c r="C467" s="4">
        <v>33</v>
      </c>
      <c r="D467" s="8">
        <v>1.61</v>
      </c>
      <c r="E467" s="4">
        <v>2</v>
      </c>
      <c r="F467" s="8">
        <v>0.24</v>
      </c>
      <c r="G467" s="4">
        <v>31</v>
      </c>
      <c r="H467" s="8">
        <v>2.59</v>
      </c>
      <c r="I467" s="4">
        <v>0</v>
      </c>
    </row>
    <row r="468" spans="1:9" x14ac:dyDescent="0.2">
      <c r="A468" s="2">
        <v>14</v>
      </c>
      <c r="B468" s="1" t="s">
        <v>154</v>
      </c>
      <c r="C468" s="4">
        <v>32</v>
      </c>
      <c r="D468" s="8">
        <v>1.56</v>
      </c>
      <c r="E468" s="4">
        <v>12</v>
      </c>
      <c r="F468" s="8">
        <v>1.42</v>
      </c>
      <c r="G468" s="4">
        <v>20</v>
      </c>
      <c r="H468" s="8">
        <v>1.67</v>
      </c>
      <c r="I468" s="4">
        <v>0</v>
      </c>
    </row>
    <row r="469" spans="1:9" x14ac:dyDescent="0.2">
      <c r="A469" s="2">
        <v>15</v>
      </c>
      <c r="B469" s="1" t="s">
        <v>180</v>
      </c>
      <c r="C469" s="4">
        <v>31</v>
      </c>
      <c r="D469" s="8">
        <v>1.51</v>
      </c>
      <c r="E469" s="4">
        <v>21</v>
      </c>
      <c r="F469" s="8">
        <v>2.4900000000000002</v>
      </c>
      <c r="G469" s="4">
        <v>10</v>
      </c>
      <c r="H469" s="8">
        <v>0.84</v>
      </c>
      <c r="I469" s="4">
        <v>0</v>
      </c>
    </row>
    <row r="470" spans="1:9" x14ac:dyDescent="0.2">
      <c r="A470" s="2">
        <v>16</v>
      </c>
      <c r="B470" s="1" t="s">
        <v>168</v>
      </c>
      <c r="C470" s="4">
        <v>30</v>
      </c>
      <c r="D470" s="8">
        <v>1.46</v>
      </c>
      <c r="E470" s="4">
        <v>13</v>
      </c>
      <c r="F470" s="8">
        <v>1.54</v>
      </c>
      <c r="G470" s="4">
        <v>17</v>
      </c>
      <c r="H470" s="8">
        <v>1.42</v>
      </c>
      <c r="I470" s="4">
        <v>0</v>
      </c>
    </row>
    <row r="471" spans="1:9" x14ac:dyDescent="0.2">
      <c r="A471" s="2">
        <v>17</v>
      </c>
      <c r="B471" s="1" t="s">
        <v>169</v>
      </c>
      <c r="C471" s="4">
        <v>29</v>
      </c>
      <c r="D471" s="8">
        <v>1.42</v>
      </c>
      <c r="E471" s="4">
        <v>15</v>
      </c>
      <c r="F471" s="8">
        <v>1.78</v>
      </c>
      <c r="G471" s="4">
        <v>14</v>
      </c>
      <c r="H471" s="8">
        <v>1.17</v>
      </c>
      <c r="I471" s="4">
        <v>0</v>
      </c>
    </row>
    <row r="472" spans="1:9" x14ac:dyDescent="0.2">
      <c r="A472" s="2">
        <v>18</v>
      </c>
      <c r="B472" s="1" t="s">
        <v>153</v>
      </c>
      <c r="C472" s="4">
        <v>28</v>
      </c>
      <c r="D472" s="8">
        <v>1.37</v>
      </c>
      <c r="E472" s="4">
        <v>1</v>
      </c>
      <c r="F472" s="8">
        <v>0.12</v>
      </c>
      <c r="G472" s="4">
        <v>27</v>
      </c>
      <c r="H472" s="8">
        <v>2.2599999999999998</v>
      </c>
      <c r="I472" s="4">
        <v>0</v>
      </c>
    </row>
    <row r="473" spans="1:9" x14ac:dyDescent="0.2">
      <c r="A473" s="2">
        <v>19</v>
      </c>
      <c r="B473" s="1" t="s">
        <v>152</v>
      </c>
      <c r="C473" s="4">
        <v>27</v>
      </c>
      <c r="D473" s="8">
        <v>1.32</v>
      </c>
      <c r="E473" s="4">
        <v>1</v>
      </c>
      <c r="F473" s="8">
        <v>0.12</v>
      </c>
      <c r="G473" s="4">
        <v>26</v>
      </c>
      <c r="H473" s="8">
        <v>2.17</v>
      </c>
      <c r="I473" s="4">
        <v>0</v>
      </c>
    </row>
    <row r="474" spans="1:9" x14ac:dyDescent="0.2">
      <c r="A474" s="2">
        <v>20</v>
      </c>
      <c r="B474" s="1" t="s">
        <v>159</v>
      </c>
      <c r="C474" s="4">
        <v>26</v>
      </c>
      <c r="D474" s="8">
        <v>1.27</v>
      </c>
      <c r="E474" s="4">
        <v>0</v>
      </c>
      <c r="F474" s="8">
        <v>0</v>
      </c>
      <c r="G474" s="4">
        <v>26</v>
      </c>
      <c r="H474" s="8">
        <v>2.17</v>
      </c>
      <c r="I474" s="4">
        <v>0</v>
      </c>
    </row>
    <row r="475" spans="1:9" x14ac:dyDescent="0.2">
      <c r="A475" s="1"/>
      <c r="C475" s="4"/>
      <c r="D475" s="8"/>
      <c r="E475" s="4"/>
      <c r="F475" s="8"/>
      <c r="G475" s="4"/>
      <c r="H475" s="8"/>
      <c r="I475" s="4"/>
    </row>
    <row r="476" spans="1:9" x14ac:dyDescent="0.2">
      <c r="A476" s="1" t="s">
        <v>21</v>
      </c>
      <c r="C476" s="4"/>
      <c r="D476" s="8"/>
      <c r="E476" s="4"/>
      <c r="F476" s="8"/>
      <c r="G476" s="4"/>
      <c r="H476" s="8"/>
      <c r="I476" s="4"/>
    </row>
    <row r="477" spans="1:9" x14ac:dyDescent="0.2">
      <c r="A477" s="2">
        <v>1</v>
      </c>
      <c r="B477" s="1" t="s">
        <v>164</v>
      </c>
      <c r="C477" s="4">
        <v>310</v>
      </c>
      <c r="D477" s="8">
        <v>4.93</v>
      </c>
      <c r="E477" s="4">
        <v>235</v>
      </c>
      <c r="F477" s="8">
        <v>10.220000000000001</v>
      </c>
      <c r="G477" s="4">
        <v>75</v>
      </c>
      <c r="H477" s="8">
        <v>1.89</v>
      </c>
      <c r="I477" s="4">
        <v>0</v>
      </c>
    </row>
    <row r="478" spans="1:9" x14ac:dyDescent="0.2">
      <c r="A478" s="2">
        <v>2</v>
      </c>
      <c r="B478" s="1" t="s">
        <v>158</v>
      </c>
      <c r="C478" s="4">
        <v>236</v>
      </c>
      <c r="D478" s="8">
        <v>3.75</v>
      </c>
      <c r="E478" s="4">
        <v>81</v>
      </c>
      <c r="F478" s="8">
        <v>3.52</v>
      </c>
      <c r="G478" s="4">
        <v>154</v>
      </c>
      <c r="H478" s="8">
        <v>3.88</v>
      </c>
      <c r="I478" s="4">
        <v>1</v>
      </c>
    </row>
    <row r="479" spans="1:9" x14ac:dyDescent="0.2">
      <c r="A479" s="2">
        <v>3</v>
      </c>
      <c r="B479" s="1" t="s">
        <v>166</v>
      </c>
      <c r="C479" s="4">
        <v>212</v>
      </c>
      <c r="D479" s="8">
        <v>3.37</v>
      </c>
      <c r="E479" s="4">
        <v>169</v>
      </c>
      <c r="F479" s="8">
        <v>7.35</v>
      </c>
      <c r="G479" s="4">
        <v>43</v>
      </c>
      <c r="H479" s="8">
        <v>1.08</v>
      </c>
      <c r="I479" s="4">
        <v>0</v>
      </c>
    </row>
    <row r="480" spans="1:9" x14ac:dyDescent="0.2">
      <c r="A480" s="2">
        <v>4</v>
      </c>
      <c r="B480" s="1" t="s">
        <v>165</v>
      </c>
      <c r="C480" s="4">
        <v>192</v>
      </c>
      <c r="D480" s="8">
        <v>3.05</v>
      </c>
      <c r="E480" s="4">
        <v>130</v>
      </c>
      <c r="F480" s="8">
        <v>5.65</v>
      </c>
      <c r="G480" s="4">
        <v>62</v>
      </c>
      <c r="H480" s="8">
        <v>1.56</v>
      </c>
      <c r="I480" s="4">
        <v>0</v>
      </c>
    </row>
    <row r="481" spans="1:9" x14ac:dyDescent="0.2">
      <c r="A481" s="2">
        <v>5</v>
      </c>
      <c r="B481" s="1" t="s">
        <v>163</v>
      </c>
      <c r="C481" s="4">
        <v>177</v>
      </c>
      <c r="D481" s="8">
        <v>2.81</v>
      </c>
      <c r="E481" s="4">
        <v>160</v>
      </c>
      <c r="F481" s="8">
        <v>6.96</v>
      </c>
      <c r="G481" s="4">
        <v>17</v>
      </c>
      <c r="H481" s="8">
        <v>0.43</v>
      </c>
      <c r="I481" s="4">
        <v>0</v>
      </c>
    </row>
    <row r="482" spans="1:9" x14ac:dyDescent="0.2">
      <c r="A482" s="2">
        <v>6</v>
      </c>
      <c r="B482" s="1" t="s">
        <v>161</v>
      </c>
      <c r="C482" s="4">
        <v>167</v>
      </c>
      <c r="D482" s="8">
        <v>2.65</v>
      </c>
      <c r="E482" s="4">
        <v>124</v>
      </c>
      <c r="F482" s="8">
        <v>5.39</v>
      </c>
      <c r="G482" s="4">
        <v>43</v>
      </c>
      <c r="H482" s="8">
        <v>1.08</v>
      </c>
      <c r="I482" s="4">
        <v>0</v>
      </c>
    </row>
    <row r="483" spans="1:9" x14ac:dyDescent="0.2">
      <c r="A483" s="2">
        <v>7</v>
      </c>
      <c r="B483" s="1" t="s">
        <v>162</v>
      </c>
      <c r="C483" s="4">
        <v>159</v>
      </c>
      <c r="D483" s="8">
        <v>2.5299999999999998</v>
      </c>
      <c r="E483" s="4">
        <v>134</v>
      </c>
      <c r="F483" s="8">
        <v>5.83</v>
      </c>
      <c r="G483" s="4">
        <v>25</v>
      </c>
      <c r="H483" s="8">
        <v>0.63</v>
      </c>
      <c r="I483" s="4">
        <v>0</v>
      </c>
    </row>
    <row r="484" spans="1:9" x14ac:dyDescent="0.2">
      <c r="A484" s="2">
        <v>8</v>
      </c>
      <c r="B484" s="1" t="s">
        <v>159</v>
      </c>
      <c r="C484" s="4">
        <v>153</v>
      </c>
      <c r="D484" s="8">
        <v>2.4300000000000002</v>
      </c>
      <c r="E484" s="4">
        <v>3</v>
      </c>
      <c r="F484" s="8">
        <v>0.13</v>
      </c>
      <c r="G484" s="4">
        <v>148</v>
      </c>
      <c r="H484" s="8">
        <v>3.73</v>
      </c>
      <c r="I484" s="4">
        <v>0</v>
      </c>
    </row>
    <row r="485" spans="1:9" x14ac:dyDescent="0.2">
      <c r="A485" s="2">
        <v>9</v>
      </c>
      <c r="B485" s="1" t="s">
        <v>157</v>
      </c>
      <c r="C485" s="4">
        <v>138</v>
      </c>
      <c r="D485" s="8">
        <v>2.19</v>
      </c>
      <c r="E485" s="4">
        <v>11</v>
      </c>
      <c r="F485" s="8">
        <v>0.48</v>
      </c>
      <c r="G485" s="4">
        <v>127</v>
      </c>
      <c r="H485" s="8">
        <v>3.2</v>
      </c>
      <c r="I485" s="4">
        <v>0</v>
      </c>
    </row>
    <row r="486" spans="1:9" x14ac:dyDescent="0.2">
      <c r="A486" s="2">
        <v>10</v>
      </c>
      <c r="B486" s="1" t="s">
        <v>156</v>
      </c>
      <c r="C486" s="4">
        <v>104</v>
      </c>
      <c r="D486" s="8">
        <v>1.65</v>
      </c>
      <c r="E486" s="4">
        <v>41</v>
      </c>
      <c r="F486" s="8">
        <v>1.78</v>
      </c>
      <c r="G486" s="4">
        <v>63</v>
      </c>
      <c r="H486" s="8">
        <v>1.59</v>
      </c>
      <c r="I486" s="4">
        <v>0</v>
      </c>
    </row>
    <row r="487" spans="1:9" x14ac:dyDescent="0.2">
      <c r="A487" s="2">
        <v>11</v>
      </c>
      <c r="B487" s="1" t="s">
        <v>151</v>
      </c>
      <c r="C487" s="4">
        <v>103</v>
      </c>
      <c r="D487" s="8">
        <v>1.64</v>
      </c>
      <c r="E487" s="4">
        <v>14</v>
      </c>
      <c r="F487" s="8">
        <v>0.61</v>
      </c>
      <c r="G487" s="4">
        <v>89</v>
      </c>
      <c r="H487" s="8">
        <v>2.2400000000000002</v>
      </c>
      <c r="I487" s="4">
        <v>0</v>
      </c>
    </row>
    <row r="488" spans="1:9" x14ac:dyDescent="0.2">
      <c r="A488" s="2">
        <v>12</v>
      </c>
      <c r="B488" s="1" t="s">
        <v>155</v>
      </c>
      <c r="C488" s="4">
        <v>100</v>
      </c>
      <c r="D488" s="8">
        <v>1.59</v>
      </c>
      <c r="E488" s="4">
        <v>41</v>
      </c>
      <c r="F488" s="8">
        <v>1.78</v>
      </c>
      <c r="G488" s="4">
        <v>59</v>
      </c>
      <c r="H488" s="8">
        <v>1.49</v>
      </c>
      <c r="I488" s="4">
        <v>0</v>
      </c>
    </row>
    <row r="489" spans="1:9" x14ac:dyDescent="0.2">
      <c r="A489" s="2">
        <v>13</v>
      </c>
      <c r="B489" s="1" t="s">
        <v>160</v>
      </c>
      <c r="C489" s="4">
        <v>96</v>
      </c>
      <c r="D489" s="8">
        <v>1.53</v>
      </c>
      <c r="E489" s="4">
        <v>17</v>
      </c>
      <c r="F489" s="8">
        <v>0.74</v>
      </c>
      <c r="G489" s="4">
        <v>78</v>
      </c>
      <c r="H489" s="8">
        <v>1.96</v>
      </c>
      <c r="I489" s="4">
        <v>0</v>
      </c>
    </row>
    <row r="490" spans="1:9" x14ac:dyDescent="0.2">
      <c r="A490" s="2">
        <v>14</v>
      </c>
      <c r="B490" s="1" t="s">
        <v>180</v>
      </c>
      <c r="C490" s="4">
        <v>94</v>
      </c>
      <c r="D490" s="8">
        <v>1.49</v>
      </c>
      <c r="E490" s="4">
        <v>51</v>
      </c>
      <c r="F490" s="8">
        <v>2.2200000000000002</v>
      </c>
      <c r="G490" s="4">
        <v>43</v>
      </c>
      <c r="H490" s="8">
        <v>1.08</v>
      </c>
      <c r="I490" s="4">
        <v>0</v>
      </c>
    </row>
    <row r="491" spans="1:9" x14ac:dyDescent="0.2">
      <c r="A491" s="2">
        <v>15</v>
      </c>
      <c r="B491" s="1" t="s">
        <v>148</v>
      </c>
      <c r="C491" s="4">
        <v>93</v>
      </c>
      <c r="D491" s="8">
        <v>1.48</v>
      </c>
      <c r="E491" s="4">
        <v>7</v>
      </c>
      <c r="F491" s="8">
        <v>0.3</v>
      </c>
      <c r="G491" s="4">
        <v>86</v>
      </c>
      <c r="H491" s="8">
        <v>2.17</v>
      </c>
      <c r="I491" s="4">
        <v>0</v>
      </c>
    </row>
    <row r="492" spans="1:9" x14ac:dyDescent="0.2">
      <c r="A492" s="2">
        <v>16</v>
      </c>
      <c r="B492" s="1" t="s">
        <v>152</v>
      </c>
      <c r="C492" s="4">
        <v>91</v>
      </c>
      <c r="D492" s="8">
        <v>1.45</v>
      </c>
      <c r="E492" s="4">
        <v>17</v>
      </c>
      <c r="F492" s="8">
        <v>0.74</v>
      </c>
      <c r="G492" s="4">
        <v>74</v>
      </c>
      <c r="H492" s="8">
        <v>1.86</v>
      </c>
      <c r="I492" s="4">
        <v>0</v>
      </c>
    </row>
    <row r="493" spans="1:9" x14ac:dyDescent="0.2">
      <c r="A493" s="2">
        <v>17</v>
      </c>
      <c r="B493" s="1" t="s">
        <v>153</v>
      </c>
      <c r="C493" s="4">
        <v>90</v>
      </c>
      <c r="D493" s="8">
        <v>1.43</v>
      </c>
      <c r="E493" s="4">
        <v>6</v>
      </c>
      <c r="F493" s="8">
        <v>0.26</v>
      </c>
      <c r="G493" s="4">
        <v>84</v>
      </c>
      <c r="H493" s="8">
        <v>2.12</v>
      </c>
      <c r="I493" s="4">
        <v>0</v>
      </c>
    </row>
    <row r="494" spans="1:9" x14ac:dyDescent="0.2">
      <c r="A494" s="2">
        <v>18</v>
      </c>
      <c r="B494" s="1" t="s">
        <v>149</v>
      </c>
      <c r="C494" s="4">
        <v>87</v>
      </c>
      <c r="D494" s="8">
        <v>1.38</v>
      </c>
      <c r="E494" s="4">
        <v>4</v>
      </c>
      <c r="F494" s="8">
        <v>0.17</v>
      </c>
      <c r="G494" s="4">
        <v>83</v>
      </c>
      <c r="H494" s="8">
        <v>2.09</v>
      </c>
      <c r="I494" s="4">
        <v>0</v>
      </c>
    </row>
    <row r="495" spans="1:9" x14ac:dyDescent="0.2">
      <c r="A495" s="2">
        <v>19</v>
      </c>
      <c r="B495" s="1" t="s">
        <v>150</v>
      </c>
      <c r="C495" s="4">
        <v>81</v>
      </c>
      <c r="D495" s="8">
        <v>1.29</v>
      </c>
      <c r="E495" s="4">
        <v>19</v>
      </c>
      <c r="F495" s="8">
        <v>0.83</v>
      </c>
      <c r="G495" s="4">
        <v>62</v>
      </c>
      <c r="H495" s="8">
        <v>1.56</v>
      </c>
      <c r="I495" s="4">
        <v>0</v>
      </c>
    </row>
    <row r="496" spans="1:9" x14ac:dyDescent="0.2">
      <c r="A496" s="2">
        <v>19</v>
      </c>
      <c r="B496" s="1" t="s">
        <v>167</v>
      </c>
      <c r="C496" s="4">
        <v>81</v>
      </c>
      <c r="D496" s="8">
        <v>1.29</v>
      </c>
      <c r="E496" s="4">
        <v>31</v>
      </c>
      <c r="F496" s="8">
        <v>1.35</v>
      </c>
      <c r="G496" s="4">
        <v>50</v>
      </c>
      <c r="H496" s="8">
        <v>1.26</v>
      </c>
      <c r="I496" s="4">
        <v>0</v>
      </c>
    </row>
    <row r="497" spans="1:9" x14ac:dyDescent="0.2">
      <c r="A497" s="1"/>
      <c r="C497" s="4"/>
      <c r="D497" s="8"/>
      <c r="E497" s="4"/>
      <c r="F497" s="8"/>
      <c r="G497" s="4"/>
      <c r="H497" s="8"/>
      <c r="I497" s="4"/>
    </row>
    <row r="498" spans="1:9" x14ac:dyDescent="0.2">
      <c r="A498" s="1" t="s">
        <v>22</v>
      </c>
      <c r="C498" s="4"/>
      <c r="D498" s="8"/>
      <c r="E498" s="4"/>
      <c r="F498" s="8"/>
      <c r="G498" s="4"/>
      <c r="H498" s="8"/>
      <c r="I498" s="4"/>
    </row>
    <row r="499" spans="1:9" x14ac:dyDescent="0.2">
      <c r="A499" s="2">
        <v>1</v>
      </c>
      <c r="B499" s="1" t="s">
        <v>158</v>
      </c>
      <c r="C499" s="4">
        <v>50</v>
      </c>
      <c r="D499" s="8">
        <v>7.22</v>
      </c>
      <c r="E499" s="4">
        <v>48</v>
      </c>
      <c r="F499" s="8">
        <v>10.039999999999999</v>
      </c>
      <c r="G499" s="4">
        <v>2</v>
      </c>
      <c r="H499" s="8">
        <v>0.95</v>
      </c>
      <c r="I499" s="4">
        <v>0</v>
      </c>
    </row>
    <row r="500" spans="1:9" x14ac:dyDescent="0.2">
      <c r="A500" s="2">
        <v>2</v>
      </c>
      <c r="B500" s="1" t="s">
        <v>164</v>
      </c>
      <c r="C500" s="4">
        <v>34</v>
      </c>
      <c r="D500" s="8">
        <v>4.91</v>
      </c>
      <c r="E500" s="4">
        <v>32</v>
      </c>
      <c r="F500" s="8">
        <v>6.69</v>
      </c>
      <c r="G500" s="4">
        <v>2</v>
      </c>
      <c r="H500" s="8">
        <v>0.95</v>
      </c>
      <c r="I500" s="4">
        <v>0</v>
      </c>
    </row>
    <row r="501" spans="1:9" x14ac:dyDescent="0.2">
      <c r="A501" s="2">
        <v>3</v>
      </c>
      <c r="B501" s="1" t="s">
        <v>161</v>
      </c>
      <c r="C501" s="4">
        <v>33</v>
      </c>
      <c r="D501" s="8">
        <v>4.76</v>
      </c>
      <c r="E501" s="4">
        <v>28</v>
      </c>
      <c r="F501" s="8">
        <v>5.86</v>
      </c>
      <c r="G501" s="4">
        <v>5</v>
      </c>
      <c r="H501" s="8">
        <v>2.38</v>
      </c>
      <c r="I501" s="4">
        <v>0</v>
      </c>
    </row>
    <row r="502" spans="1:9" x14ac:dyDescent="0.2">
      <c r="A502" s="2">
        <v>4</v>
      </c>
      <c r="B502" s="1" t="s">
        <v>150</v>
      </c>
      <c r="C502" s="4">
        <v>30</v>
      </c>
      <c r="D502" s="8">
        <v>4.33</v>
      </c>
      <c r="E502" s="4">
        <v>27</v>
      </c>
      <c r="F502" s="8">
        <v>5.65</v>
      </c>
      <c r="G502" s="4">
        <v>3</v>
      </c>
      <c r="H502" s="8">
        <v>1.43</v>
      </c>
      <c r="I502" s="4">
        <v>0</v>
      </c>
    </row>
    <row r="503" spans="1:9" x14ac:dyDescent="0.2">
      <c r="A503" s="2">
        <v>4</v>
      </c>
      <c r="B503" s="1" t="s">
        <v>194</v>
      </c>
      <c r="C503" s="4">
        <v>30</v>
      </c>
      <c r="D503" s="8">
        <v>4.33</v>
      </c>
      <c r="E503" s="4">
        <v>27</v>
      </c>
      <c r="F503" s="8">
        <v>5.65</v>
      </c>
      <c r="G503" s="4">
        <v>3</v>
      </c>
      <c r="H503" s="8">
        <v>1.43</v>
      </c>
      <c r="I503" s="4">
        <v>0</v>
      </c>
    </row>
    <row r="504" spans="1:9" x14ac:dyDescent="0.2">
      <c r="A504" s="2">
        <v>6</v>
      </c>
      <c r="B504" s="1" t="s">
        <v>154</v>
      </c>
      <c r="C504" s="4">
        <v>28</v>
      </c>
      <c r="D504" s="8">
        <v>4.04</v>
      </c>
      <c r="E504" s="4">
        <v>23</v>
      </c>
      <c r="F504" s="8">
        <v>4.8099999999999996</v>
      </c>
      <c r="G504" s="4">
        <v>5</v>
      </c>
      <c r="H504" s="8">
        <v>2.38</v>
      </c>
      <c r="I504" s="4">
        <v>0</v>
      </c>
    </row>
    <row r="505" spans="1:9" x14ac:dyDescent="0.2">
      <c r="A505" s="2">
        <v>7</v>
      </c>
      <c r="B505" s="1" t="s">
        <v>163</v>
      </c>
      <c r="C505" s="4">
        <v>24</v>
      </c>
      <c r="D505" s="8">
        <v>3.46</v>
      </c>
      <c r="E505" s="4">
        <v>23</v>
      </c>
      <c r="F505" s="8">
        <v>4.8099999999999996</v>
      </c>
      <c r="G505" s="4">
        <v>1</v>
      </c>
      <c r="H505" s="8">
        <v>0.48</v>
      </c>
      <c r="I505" s="4">
        <v>0</v>
      </c>
    </row>
    <row r="506" spans="1:9" x14ac:dyDescent="0.2">
      <c r="A506" s="2">
        <v>8</v>
      </c>
      <c r="B506" s="1" t="s">
        <v>192</v>
      </c>
      <c r="C506" s="4">
        <v>17</v>
      </c>
      <c r="D506" s="8">
        <v>2.4500000000000002</v>
      </c>
      <c r="E506" s="4">
        <v>14</v>
      </c>
      <c r="F506" s="8">
        <v>2.93</v>
      </c>
      <c r="G506" s="4">
        <v>3</v>
      </c>
      <c r="H506" s="8">
        <v>1.43</v>
      </c>
      <c r="I506" s="4">
        <v>0</v>
      </c>
    </row>
    <row r="507" spans="1:9" x14ac:dyDescent="0.2">
      <c r="A507" s="2">
        <v>9</v>
      </c>
      <c r="B507" s="1" t="s">
        <v>156</v>
      </c>
      <c r="C507" s="4">
        <v>16</v>
      </c>
      <c r="D507" s="8">
        <v>2.31</v>
      </c>
      <c r="E507" s="4">
        <v>9</v>
      </c>
      <c r="F507" s="8">
        <v>1.88</v>
      </c>
      <c r="G507" s="4">
        <v>7</v>
      </c>
      <c r="H507" s="8">
        <v>3.33</v>
      </c>
      <c r="I507" s="4">
        <v>0</v>
      </c>
    </row>
    <row r="508" spans="1:9" x14ac:dyDescent="0.2">
      <c r="A508" s="2">
        <v>9</v>
      </c>
      <c r="B508" s="1" t="s">
        <v>162</v>
      </c>
      <c r="C508" s="4">
        <v>16</v>
      </c>
      <c r="D508" s="8">
        <v>2.31</v>
      </c>
      <c r="E508" s="4">
        <v>16</v>
      </c>
      <c r="F508" s="8">
        <v>3.35</v>
      </c>
      <c r="G508" s="4">
        <v>0</v>
      </c>
      <c r="H508" s="8">
        <v>0</v>
      </c>
      <c r="I508" s="4">
        <v>0</v>
      </c>
    </row>
    <row r="509" spans="1:9" x14ac:dyDescent="0.2">
      <c r="A509" s="2">
        <v>11</v>
      </c>
      <c r="B509" s="1" t="s">
        <v>148</v>
      </c>
      <c r="C509" s="4">
        <v>14</v>
      </c>
      <c r="D509" s="8">
        <v>2.02</v>
      </c>
      <c r="E509" s="4">
        <v>3</v>
      </c>
      <c r="F509" s="8">
        <v>0.63</v>
      </c>
      <c r="G509" s="4">
        <v>11</v>
      </c>
      <c r="H509" s="8">
        <v>5.24</v>
      </c>
      <c r="I509" s="4">
        <v>0</v>
      </c>
    </row>
    <row r="510" spans="1:9" x14ac:dyDescent="0.2">
      <c r="A510" s="2">
        <v>12</v>
      </c>
      <c r="B510" s="1" t="s">
        <v>190</v>
      </c>
      <c r="C510" s="4">
        <v>12</v>
      </c>
      <c r="D510" s="8">
        <v>1.73</v>
      </c>
      <c r="E510" s="4">
        <v>9</v>
      </c>
      <c r="F510" s="8">
        <v>1.88</v>
      </c>
      <c r="G510" s="4">
        <v>3</v>
      </c>
      <c r="H510" s="8">
        <v>1.43</v>
      </c>
      <c r="I510" s="4">
        <v>0</v>
      </c>
    </row>
    <row r="511" spans="1:9" x14ac:dyDescent="0.2">
      <c r="A511" s="2">
        <v>13</v>
      </c>
      <c r="B511" s="1" t="s">
        <v>153</v>
      </c>
      <c r="C511" s="4">
        <v>11</v>
      </c>
      <c r="D511" s="8">
        <v>1.59</v>
      </c>
      <c r="E511" s="4">
        <v>5</v>
      </c>
      <c r="F511" s="8">
        <v>1.05</v>
      </c>
      <c r="G511" s="4">
        <v>6</v>
      </c>
      <c r="H511" s="8">
        <v>2.86</v>
      </c>
      <c r="I511" s="4">
        <v>0</v>
      </c>
    </row>
    <row r="512" spans="1:9" x14ac:dyDescent="0.2">
      <c r="A512" s="2">
        <v>13</v>
      </c>
      <c r="B512" s="1" t="s">
        <v>191</v>
      </c>
      <c r="C512" s="4">
        <v>11</v>
      </c>
      <c r="D512" s="8">
        <v>1.59</v>
      </c>
      <c r="E512" s="4">
        <v>3</v>
      </c>
      <c r="F512" s="8">
        <v>0.63</v>
      </c>
      <c r="G512" s="4">
        <v>8</v>
      </c>
      <c r="H512" s="8">
        <v>3.81</v>
      </c>
      <c r="I512" s="4">
        <v>0</v>
      </c>
    </row>
    <row r="513" spans="1:9" x14ac:dyDescent="0.2">
      <c r="A513" s="2">
        <v>13</v>
      </c>
      <c r="B513" s="1" t="s">
        <v>199</v>
      </c>
      <c r="C513" s="4">
        <v>11</v>
      </c>
      <c r="D513" s="8">
        <v>1.59</v>
      </c>
      <c r="E513" s="4">
        <v>11</v>
      </c>
      <c r="F513" s="8">
        <v>2.2999999999999998</v>
      </c>
      <c r="G513" s="4">
        <v>0</v>
      </c>
      <c r="H513" s="8">
        <v>0</v>
      </c>
      <c r="I513" s="4">
        <v>0</v>
      </c>
    </row>
    <row r="514" spans="1:9" x14ac:dyDescent="0.2">
      <c r="A514" s="2">
        <v>16</v>
      </c>
      <c r="B514" s="1" t="s">
        <v>151</v>
      </c>
      <c r="C514" s="4">
        <v>10</v>
      </c>
      <c r="D514" s="8">
        <v>1.44</v>
      </c>
      <c r="E514" s="4">
        <v>2</v>
      </c>
      <c r="F514" s="8">
        <v>0.42</v>
      </c>
      <c r="G514" s="4">
        <v>8</v>
      </c>
      <c r="H514" s="8">
        <v>3.81</v>
      </c>
      <c r="I514" s="4">
        <v>0</v>
      </c>
    </row>
    <row r="515" spans="1:9" x14ac:dyDescent="0.2">
      <c r="A515" s="2">
        <v>16</v>
      </c>
      <c r="B515" s="1" t="s">
        <v>183</v>
      </c>
      <c r="C515" s="4">
        <v>10</v>
      </c>
      <c r="D515" s="8">
        <v>1.44</v>
      </c>
      <c r="E515" s="4">
        <v>3</v>
      </c>
      <c r="F515" s="8">
        <v>0.63</v>
      </c>
      <c r="G515" s="4">
        <v>7</v>
      </c>
      <c r="H515" s="8">
        <v>3.33</v>
      </c>
      <c r="I515" s="4">
        <v>0</v>
      </c>
    </row>
    <row r="516" spans="1:9" x14ac:dyDescent="0.2">
      <c r="A516" s="2">
        <v>16</v>
      </c>
      <c r="B516" s="1" t="s">
        <v>195</v>
      </c>
      <c r="C516" s="4">
        <v>10</v>
      </c>
      <c r="D516" s="8">
        <v>1.44</v>
      </c>
      <c r="E516" s="4">
        <v>9</v>
      </c>
      <c r="F516" s="8">
        <v>1.88</v>
      </c>
      <c r="G516" s="4">
        <v>1</v>
      </c>
      <c r="H516" s="8">
        <v>0.48</v>
      </c>
      <c r="I516" s="4">
        <v>0</v>
      </c>
    </row>
    <row r="517" spans="1:9" x14ac:dyDescent="0.2">
      <c r="A517" s="2">
        <v>19</v>
      </c>
      <c r="B517" s="1" t="s">
        <v>189</v>
      </c>
      <c r="C517" s="4">
        <v>9</v>
      </c>
      <c r="D517" s="8">
        <v>1.3</v>
      </c>
      <c r="E517" s="4">
        <v>6</v>
      </c>
      <c r="F517" s="8">
        <v>1.26</v>
      </c>
      <c r="G517" s="4">
        <v>3</v>
      </c>
      <c r="H517" s="8">
        <v>1.43</v>
      </c>
      <c r="I517" s="4">
        <v>0</v>
      </c>
    </row>
    <row r="518" spans="1:9" x14ac:dyDescent="0.2">
      <c r="A518" s="2">
        <v>19</v>
      </c>
      <c r="B518" s="1" t="s">
        <v>198</v>
      </c>
      <c r="C518" s="4">
        <v>9</v>
      </c>
      <c r="D518" s="8">
        <v>1.3</v>
      </c>
      <c r="E518" s="4">
        <v>5</v>
      </c>
      <c r="F518" s="8">
        <v>1.05</v>
      </c>
      <c r="G518" s="4">
        <v>4</v>
      </c>
      <c r="H518" s="8">
        <v>1.9</v>
      </c>
      <c r="I518" s="4">
        <v>0</v>
      </c>
    </row>
    <row r="519" spans="1:9" x14ac:dyDescent="0.2">
      <c r="A519" s="2">
        <v>19</v>
      </c>
      <c r="B519" s="1" t="s">
        <v>200</v>
      </c>
      <c r="C519" s="4">
        <v>9</v>
      </c>
      <c r="D519" s="8">
        <v>1.3</v>
      </c>
      <c r="E519" s="4">
        <v>7</v>
      </c>
      <c r="F519" s="8">
        <v>1.46</v>
      </c>
      <c r="G519" s="4">
        <v>2</v>
      </c>
      <c r="H519" s="8">
        <v>0.95</v>
      </c>
      <c r="I519" s="4">
        <v>0</v>
      </c>
    </row>
    <row r="520" spans="1:9" x14ac:dyDescent="0.2">
      <c r="A520" s="2">
        <v>19</v>
      </c>
      <c r="B520" s="1" t="s">
        <v>165</v>
      </c>
      <c r="C520" s="4">
        <v>9</v>
      </c>
      <c r="D520" s="8">
        <v>1.3</v>
      </c>
      <c r="E520" s="4">
        <v>8</v>
      </c>
      <c r="F520" s="8">
        <v>1.67</v>
      </c>
      <c r="G520" s="4">
        <v>1</v>
      </c>
      <c r="H520" s="8">
        <v>0.48</v>
      </c>
      <c r="I520" s="4">
        <v>0</v>
      </c>
    </row>
    <row r="521" spans="1:9" x14ac:dyDescent="0.2">
      <c r="A521" s="1"/>
      <c r="C521" s="4"/>
      <c r="D521" s="8"/>
      <c r="E521" s="4"/>
      <c r="F521" s="8"/>
      <c r="G521" s="4"/>
      <c r="H521" s="8"/>
      <c r="I521" s="4"/>
    </row>
    <row r="522" spans="1:9" x14ac:dyDescent="0.2">
      <c r="A522" s="1" t="s">
        <v>23</v>
      </c>
      <c r="C522" s="4"/>
      <c r="D522" s="8"/>
      <c r="E522" s="4"/>
      <c r="F522" s="8"/>
      <c r="G522" s="4"/>
      <c r="H522" s="8"/>
      <c r="I522" s="4"/>
    </row>
    <row r="523" spans="1:9" x14ac:dyDescent="0.2">
      <c r="A523" s="2">
        <v>1</v>
      </c>
      <c r="B523" s="1" t="s">
        <v>164</v>
      </c>
      <c r="C523" s="4">
        <v>238</v>
      </c>
      <c r="D523" s="8">
        <v>5.43</v>
      </c>
      <c r="E523" s="4">
        <v>200</v>
      </c>
      <c r="F523" s="8">
        <v>12.55</v>
      </c>
      <c r="G523" s="4">
        <v>38</v>
      </c>
      <c r="H523" s="8">
        <v>1.36</v>
      </c>
      <c r="I523" s="4">
        <v>0</v>
      </c>
    </row>
    <row r="524" spans="1:9" x14ac:dyDescent="0.2">
      <c r="A524" s="2">
        <v>2</v>
      </c>
      <c r="B524" s="1" t="s">
        <v>163</v>
      </c>
      <c r="C524" s="4">
        <v>188</v>
      </c>
      <c r="D524" s="8">
        <v>4.29</v>
      </c>
      <c r="E524" s="4">
        <v>176</v>
      </c>
      <c r="F524" s="8">
        <v>11.04</v>
      </c>
      <c r="G524" s="4">
        <v>12</v>
      </c>
      <c r="H524" s="8">
        <v>0.43</v>
      </c>
      <c r="I524" s="4">
        <v>0</v>
      </c>
    </row>
    <row r="525" spans="1:9" x14ac:dyDescent="0.2">
      <c r="A525" s="2">
        <v>3</v>
      </c>
      <c r="B525" s="1" t="s">
        <v>153</v>
      </c>
      <c r="C525" s="4">
        <v>155</v>
      </c>
      <c r="D525" s="8">
        <v>3.53</v>
      </c>
      <c r="E525" s="4">
        <v>15</v>
      </c>
      <c r="F525" s="8">
        <v>0.94</v>
      </c>
      <c r="G525" s="4">
        <v>140</v>
      </c>
      <c r="H525" s="8">
        <v>5.03</v>
      </c>
      <c r="I525" s="4">
        <v>0</v>
      </c>
    </row>
    <row r="526" spans="1:9" x14ac:dyDescent="0.2">
      <c r="A526" s="2">
        <v>4</v>
      </c>
      <c r="B526" s="1" t="s">
        <v>161</v>
      </c>
      <c r="C526" s="4">
        <v>147</v>
      </c>
      <c r="D526" s="8">
        <v>3.35</v>
      </c>
      <c r="E526" s="4">
        <v>109</v>
      </c>
      <c r="F526" s="8">
        <v>6.84</v>
      </c>
      <c r="G526" s="4">
        <v>38</v>
      </c>
      <c r="H526" s="8">
        <v>1.36</v>
      </c>
      <c r="I526" s="4">
        <v>0</v>
      </c>
    </row>
    <row r="527" spans="1:9" x14ac:dyDescent="0.2">
      <c r="A527" s="2">
        <v>5</v>
      </c>
      <c r="B527" s="1" t="s">
        <v>152</v>
      </c>
      <c r="C527" s="4">
        <v>136</v>
      </c>
      <c r="D527" s="8">
        <v>3.1</v>
      </c>
      <c r="E527" s="4">
        <v>10</v>
      </c>
      <c r="F527" s="8">
        <v>0.63</v>
      </c>
      <c r="G527" s="4">
        <v>126</v>
      </c>
      <c r="H527" s="8">
        <v>4.5199999999999996</v>
      </c>
      <c r="I527" s="4">
        <v>0</v>
      </c>
    </row>
    <row r="528" spans="1:9" x14ac:dyDescent="0.2">
      <c r="A528" s="2">
        <v>6</v>
      </c>
      <c r="B528" s="1" t="s">
        <v>162</v>
      </c>
      <c r="C528" s="4">
        <v>128</v>
      </c>
      <c r="D528" s="8">
        <v>2.92</v>
      </c>
      <c r="E528" s="4">
        <v>117</v>
      </c>
      <c r="F528" s="8">
        <v>7.34</v>
      </c>
      <c r="G528" s="4">
        <v>11</v>
      </c>
      <c r="H528" s="8">
        <v>0.39</v>
      </c>
      <c r="I528" s="4">
        <v>0</v>
      </c>
    </row>
    <row r="529" spans="1:9" x14ac:dyDescent="0.2">
      <c r="A529" s="2">
        <v>7</v>
      </c>
      <c r="B529" s="1" t="s">
        <v>158</v>
      </c>
      <c r="C529" s="4">
        <v>126</v>
      </c>
      <c r="D529" s="8">
        <v>2.87</v>
      </c>
      <c r="E529" s="4">
        <v>23</v>
      </c>
      <c r="F529" s="8">
        <v>1.44</v>
      </c>
      <c r="G529" s="4">
        <v>102</v>
      </c>
      <c r="H529" s="8">
        <v>3.66</v>
      </c>
      <c r="I529" s="4">
        <v>0</v>
      </c>
    </row>
    <row r="530" spans="1:9" x14ac:dyDescent="0.2">
      <c r="A530" s="2">
        <v>8</v>
      </c>
      <c r="B530" s="1" t="s">
        <v>148</v>
      </c>
      <c r="C530" s="4">
        <v>98</v>
      </c>
      <c r="D530" s="8">
        <v>2.23</v>
      </c>
      <c r="E530" s="4">
        <v>5</v>
      </c>
      <c r="F530" s="8">
        <v>0.31</v>
      </c>
      <c r="G530" s="4">
        <v>93</v>
      </c>
      <c r="H530" s="8">
        <v>3.34</v>
      </c>
      <c r="I530" s="4">
        <v>0</v>
      </c>
    </row>
    <row r="531" spans="1:9" x14ac:dyDescent="0.2">
      <c r="A531" s="2">
        <v>9</v>
      </c>
      <c r="B531" s="1" t="s">
        <v>166</v>
      </c>
      <c r="C531" s="4">
        <v>91</v>
      </c>
      <c r="D531" s="8">
        <v>2.0699999999999998</v>
      </c>
      <c r="E531" s="4">
        <v>80</v>
      </c>
      <c r="F531" s="8">
        <v>5.0199999999999996</v>
      </c>
      <c r="G531" s="4">
        <v>11</v>
      </c>
      <c r="H531" s="8">
        <v>0.39</v>
      </c>
      <c r="I531" s="4">
        <v>0</v>
      </c>
    </row>
    <row r="532" spans="1:9" x14ac:dyDescent="0.2">
      <c r="A532" s="2">
        <v>10</v>
      </c>
      <c r="B532" s="1" t="s">
        <v>155</v>
      </c>
      <c r="C532" s="4">
        <v>86</v>
      </c>
      <c r="D532" s="8">
        <v>1.96</v>
      </c>
      <c r="E532" s="4">
        <v>31</v>
      </c>
      <c r="F532" s="8">
        <v>1.94</v>
      </c>
      <c r="G532" s="4">
        <v>55</v>
      </c>
      <c r="H532" s="8">
        <v>1.97</v>
      </c>
      <c r="I532" s="4">
        <v>0</v>
      </c>
    </row>
    <row r="533" spans="1:9" x14ac:dyDescent="0.2">
      <c r="A533" s="2">
        <v>11</v>
      </c>
      <c r="B533" s="1" t="s">
        <v>167</v>
      </c>
      <c r="C533" s="4">
        <v>80</v>
      </c>
      <c r="D533" s="8">
        <v>1.82</v>
      </c>
      <c r="E533" s="4">
        <v>41</v>
      </c>
      <c r="F533" s="8">
        <v>2.57</v>
      </c>
      <c r="G533" s="4">
        <v>39</v>
      </c>
      <c r="H533" s="8">
        <v>1.4</v>
      </c>
      <c r="I533" s="4">
        <v>0</v>
      </c>
    </row>
    <row r="534" spans="1:9" x14ac:dyDescent="0.2">
      <c r="A534" s="2">
        <v>12</v>
      </c>
      <c r="B534" s="1" t="s">
        <v>154</v>
      </c>
      <c r="C534" s="4">
        <v>73</v>
      </c>
      <c r="D534" s="8">
        <v>1.66</v>
      </c>
      <c r="E534" s="4">
        <v>43</v>
      </c>
      <c r="F534" s="8">
        <v>2.7</v>
      </c>
      <c r="G534" s="4">
        <v>30</v>
      </c>
      <c r="H534" s="8">
        <v>1.08</v>
      </c>
      <c r="I534" s="4">
        <v>0</v>
      </c>
    </row>
    <row r="535" spans="1:9" x14ac:dyDescent="0.2">
      <c r="A535" s="2">
        <v>13</v>
      </c>
      <c r="B535" s="1" t="s">
        <v>165</v>
      </c>
      <c r="C535" s="4">
        <v>70</v>
      </c>
      <c r="D535" s="8">
        <v>1.6</v>
      </c>
      <c r="E535" s="4">
        <v>45</v>
      </c>
      <c r="F535" s="8">
        <v>2.82</v>
      </c>
      <c r="G535" s="4">
        <v>24</v>
      </c>
      <c r="H535" s="8">
        <v>0.86</v>
      </c>
      <c r="I535" s="4">
        <v>1</v>
      </c>
    </row>
    <row r="536" spans="1:9" x14ac:dyDescent="0.2">
      <c r="A536" s="2">
        <v>14</v>
      </c>
      <c r="B536" s="1" t="s">
        <v>151</v>
      </c>
      <c r="C536" s="4">
        <v>69</v>
      </c>
      <c r="D536" s="8">
        <v>1.57</v>
      </c>
      <c r="E536" s="4">
        <v>7</v>
      </c>
      <c r="F536" s="8">
        <v>0.44</v>
      </c>
      <c r="G536" s="4">
        <v>62</v>
      </c>
      <c r="H536" s="8">
        <v>2.23</v>
      </c>
      <c r="I536" s="4">
        <v>0</v>
      </c>
    </row>
    <row r="537" spans="1:9" x14ac:dyDescent="0.2">
      <c r="A537" s="2">
        <v>15</v>
      </c>
      <c r="B537" s="1" t="s">
        <v>156</v>
      </c>
      <c r="C537" s="4">
        <v>66</v>
      </c>
      <c r="D537" s="8">
        <v>1.5</v>
      </c>
      <c r="E537" s="4">
        <v>25</v>
      </c>
      <c r="F537" s="8">
        <v>1.57</v>
      </c>
      <c r="G537" s="4">
        <v>41</v>
      </c>
      <c r="H537" s="8">
        <v>1.47</v>
      </c>
      <c r="I537" s="4">
        <v>0</v>
      </c>
    </row>
    <row r="538" spans="1:9" x14ac:dyDescent="0.2">
      <c r="A538" s="2">
        <v>16</v>
      </c>
      <c r="B538" s="1" t="s">
        <v>175</v>
      </c>
      <c r="C538" s="4">
        <v>65</v>
      </c>
      <c r="D538" s="8">
        <v>1.48</v>
      </c>
      <c r="E538" s="4">
        <v>6</v>
      </c>
      <c r="F538" s="8">
        <v>0.38</v>
      </c>
      <c r="G538" s="4">
        <v>59</v>
      </c>
      <c r="H538" s="8">
        <v>2.12</v>
      </c>
      <c r="I538" s="4">
        <v>0</v>
      </c>
    </row>
    <row r="539" spans="1:9" x14ac:dyDescent="0.2">
      <c r="A539" s="2">
        <v>17</v>
      </c>
      <c r="B539" s="1" t="s">
        <v>201</v>
      </c>
      <c r="C539" s="4">
        <v>63</v>
      </c>
      <c r="D539" s="8">
        <v>1.44</v>
      </c>
      <c r="E539" s="4">
        <v>1</v>
      </c>
      <c r="F539" s="8">
        <v>0.06</v>
      </c>
      <c r="G539" s="4">
        <v>62</v>
      </c>
      <c r="H539" s="8">
        <v>2.23</v>
      </c>
      <c r="I539" s="4">
        <v>0</v>
      </c>
    </row>
    <row r="540" spans="1:9" x14ac:dyDescent="0.2">
      <c r="A540" s="2">
        <v>18</v>
      </c>
      <c r="B540" s="1" t="s">
        <v>149</v>
      </c>
      <c r="C540" s="4">
        <v>62</v>
      </c>
      <c r="D540" s="8">
        <v>1.41</v>
      </c>
      <c r="E540" s="4">
        <v>6</v>
      </c>
      <c r="F540" s="8">
        <v>0.38</v>
      </c>
      <c r="G540" s="4">
        <v>56</v>
      </c>
      <c r="H540" s="8">
        <v>2.0099999999999998</v>
      </c>
      <c r="I540" s="4">
        <v>0</v>
      </c>
    </row>
    <row r="541" spans="1:9" x14ac:dyDescent="0.2">
      <c r="A541" s="2">
        <v>18</v>
      </c>
      <c r="B541" s="1" t="s">
        <v>174</v>
      </c>
      <c r="C541" s="4">
        <v>62</v>
      </c>
      <c r="D541" s="8">
        <v>1.41</v>
      </c>
      <c r="E541" s="4">
        <v>10</v>
      </c>
      <c r="F541" s="8">
        <v>0.63</v>
      </c>
      <c r="G541" s="4">
        <v>52</v>
      </c>
      <c r="H541" s="8">
        <v>1.87</v>
      </c>
      <c r="I541" s="4">
        <v>0</v>
      </c>
    </row>
    <row r="542" spans="1:9" x14ac:dyDescent="0.2">
      <c r="A542" s="2">
        <v>20</v>
      </c>
      <c r="B542" s="1" t="s">
        <v>196</v>
      </c>
      <c r="C542" s="4">
        <v>61</v>
      </c>
      <c r="D542" s="8">
        <v>1.39</v>
      </c>
      <c r="E542" s="4">
        <v>9</v>
      </c>
      <c r="F542" s="8">
        <v>0.56000000000000005</v>
      </c>
      <c r="G542" s="4">
        <v>52</v>
      </c>
      <c r="H542" s="8">
        <v>1.87</v>
      </c>
      <c r="I542" s="4">
        <v>0</v>
      </c>
    </row>
    <row r="543" spans="1:9" x14ac:dyDescent="0.2">
      <c r="A543" s="1"/>
      <c r="C543" s="4"/>
      <c r="D543" s="8"/>
      <c r="E543" s="4"/>
      <c r="F543" s="8"/>
      <c r="G543" s="4"/>
      <c r="H543" s="8"/>
      <c r="I543" s="4"/>
    </row>
    <row r="544" spans="1:9" x14ac:dyDescent="0.2">
      <c r="A544" s="1" t="s">
        <v>24</v>
      </c>
      <c r="C544" s="4"/>
      <c r="D544" s="8"/>
      <c r="E544" s="4"/>
      <c r="F544" s="8"/>
      <c r="G544" s="4"/>
      <c r="H544" s="8"/>
      <c r="I544" s="4"/>
    </row>
    <row r="545" spans="1:9" x14ac:dyDescent="0.2">
      <c r="A545" s="2">
        <v>1</v>
      </c>
      <c r="B545" s="1" t="s">
        <v>164</v>
      </c>
      <c r="C545" s="4">
        <v>142</v>
      </c>
      <c r="D545" s="8">
        <v>6</v>
      </c>
      <c r="E545" s="4">
        <v>118</v>
      </c>
      <c r="F545" s="8">
        <v>13.01</v>
      </c>
      <c r="G545" s="4">
        <v>24</v>
      </c>
      <c r="H545" s="8">
        <v>1.65</v>
      </c>
      <c r="I545" s="4">
        <v>0</v>
      </c>
    </row>
    <row r="546" spans="1:9" x14ac:dyDescent="0.2">
      <c r="A546" s="2">
        <v>2</v>
      </c>
      <c r="B546" s="1" t="s">
        <v>158</v>
      </c>
      <c r="C546" s="4">
        <v>125</v>
      </c>
      <c r="D546" s="8">
        <v>5.28</v>
      </c>
      <c r="E546" s="4">
        <v>57</v>
      </c>
      <c r="F546" s="8">
        <v>6.28</v>
      </c>
      <c r="G546" s="4">
        <v>67</v>
      </c>
      <c r="H546" s="8">
        <v>4.6100000000000003</v>
      </c>
      <c r="I546" s="4">
        <v>0</v>
      </c>
    </row>
    <row r="547" spans="1:9" x14ac:dyDescent="0.2">
      <c r="A547" s="2">
        <v>3</v>
      </c>
      <c r="B547" s="1" t="s">
        <v>166</v>
      </c>
      <c r="C547" s="4">
        <v>68</v>
      </c>
      <c r="D547" s="8">
        <v>2.87</v>
      </c>
      <c r="E547" s="4">
        <v>54</v>
      </c>
      <c r="F547" s="8">
        <v>5.95</v>
      </c>
      <c r="G547" s="4">
        <v>14</v>
      </c>
      <c r="H547" s="8">
        <v>0.96</v>
      </c>
      <c r="I547" s="4">
        <v>0</v>
      </c>
    </row>
    <row r="548" spans="1:9" x14ac:dyDescent="0.2">
      <c r="A548" s="2">
        <v>4</v>
      </c>
      <c r="B548" s="1" t="s">
        <v>163</v>
      </c>
      <c r="C548" s="4">
        <v>64</v>
      </c>
      <c r="D548" s="8">
        <v>2.7</v>
      </c>
      <c r="E548" s="4">
        <v>55</v>
      </c>
      <c r="F548" s="8">
        <v>6.06</v>
      </c>
      <c r="G548" s="4">
        <v>8</v>
      </c>
      <c r="H548" s="8">
        <v>0.55000000000000004</v>
      </c>
      <c r="I548" s="4">
        <v>1</v>
      </c>
    </row>
    <row r="549" spans="1:9" x14ac:dyDescent="0.2">
      <c r="A549" s="2">
        <v>4</v>
      </c>
      <c r="B549" s="1" t="s">
        <v>165</v>
      </c>
      <c r="C549" s="4">
        <v>64</v>
      </c>
      <c r="D549" s="8">
        <v>2.7</v>
      </c>
      <c r="E549" s="4">
        <v>41</v>
      </c>
      <c r="F549" s="8">
        <v>4.5199999999999996</v>
      </c>
      <c r="G549" s="4">
        <v>23</v>
      </c>
      <c r="H549" s="8">
        <v>1.58</v>
      </c>
      <c r="I549" s="4">
        <v>0</v>
      </c>
    </row>
    <row r="550" spans="1:9" x14ac:dyDescent="0.2">
      <c r="A550" s="2">
        <v>6</v>
      </c>
      <c r="B550" s="1" t="s">
        <v>162</v>
      </c>
      <c r="C550" s="4">
        <v>52</v>
      </c>
      <c r="D550" s="8">
        <v>2.2000000000000002</v>
      </c>
      <c r="E550" s="4">
        <v>49</v>
      </c>
      <c r="F550" s="8">
        <v>5.4</v>
      </c>
      <c r="G550" s="4">
        <v>3</v>
      </c>
      <c r="H550" s="8">
        <v>0.21</v>
      </c>
      <c r="I550" s="4">
        <v>0</v>
      </c>
    </row>
    <row r="551" spans="1:9" x14ac:dyDescent="0.2">
      <c r="A551" s="2">
        <v>7</v>
      </c>
      <c r="B551" s="1" t="s">
        <v>159</v>
      </c>
      <c r="C551" s="4">
        <v>51</v>
      </c>
      <c r="D551" s="8">
        <v>2.15</v>
      </c>
      <c r="E551" s="4">
        <v>0</v>
      </c>
      <c r="F551" s="8">
        <v>0</v>
      </c>
      <c r="G551" s="4">
        <v>51</v>
      </c>
      <c r="H551" s="8">
        <v>3.51</v>
      </c>
      <c r="I551" s="4">
        <v>0</v>
      </c>
    </row>
    <row r="552" spans="1:9" x14ac:dyDescent="0.2">
      <c r="A552" s="2">
        <v>8</v>
      </c>
      <c r="B552" s="1" t="s">
        <v>161</v>
      </c>
      <c r="C552" s="4">
        <v>49</v>
      </c>
      <c r="D552" s="8">
        <v>2.0699999999999998</v>
      </c>
      <c r="E552" s="4">
        <v>40</v>
      </c>
      <c r="F552" s="8">
        <v>4.41</v>
      </c>
      <c r="G552" s="4">
        <v>9</v>
      </c>
      <c r="H552" s="8">
        <v>0.62</v>
      </c>
      <c r="I552" s="4">
        <v>0</v>
      </c>
    </row>
    <row r="553" spans="1:9" x14ac:dyDescent="0.2">
      <c r="A553" s="2">
        <v>9</v>
      </c>
      <c r="B553" s="1" t="s">
        <v>152</v>
      </c>
      <c r="C553" s="4">
        <v>45</v>
      </c>
      <c r="D553" s="8">
        <v>1.9</v>
      </c>
      <c r="E553" s="4">
        <v>5</v>
      </c>
      <c r="F553" s="8">
        <v>0.55000000000000004</v>
      </c>
      <c r="G553" s="4">
        <v>40</v>
      </c>
      <c r="H553" s="8">
        <v>2.75</v>
      </c>
      <c r="I553" s="4">
        <v>0</v>
      </c>
    </row>
    <row r="554" spans="1:9" x14ac:dyDescent="0.2">
      <c r="A554" s="2">
        <v>10</v>
      </c>
      <c r="B554" s="1" t="s">
        <v>169</v>
      </c>
      <c r="C554" s="4">
        <v>43</v>
      </c>
      <c r="D554" s="8">
        <v>1.82</v>
      </c>
      <c r="E554" s="4">
        <v>22</v>
      </c>
      <c r="F554" s="8">
        <v>2.4300000000000002</v>
      </c>
      <c r="G554" s="4">
        <v>21</v>
      </c>
      <c r="H554" s="8">
        <v>1.44</v>
      </c>
      <c r="I554" s="4">
        <v>0</v>
      </c>
    </row>
    <row r="555" spans="1:9" x14ac:dyDescent="0.2">
      <c r="A555" s="2">
        <v>11</v>
      </c>
      <c r="B555" s="1" t="s">
        <v>180</v>
      </c>
      <c r="C555" s="4">
        <v>42</v>
      </c>
      <c r="D555" s="8">
        <v>1.77</v>
      </c>
      <c r="E555" s="4">
        <v>23</v>
      </c>
      <c r="F555" s="8">
        <v>2.54</v>
      </c>
      <c r="G555" s="4">
        <v>19</v>
      </c>
      <c r="H555" s="8">
        <v>1.31</v>
      </c>
      <c r="I555" s="4">
        <v>0</v>
      </c>
    </row>
    <row r="556" spans="1:9" x14ac:dyDescent="0.2">
      <c r="A556" s="2">
        <v>12</v>
      </c>
      <c r="B556" s="1" t="s">
        <v>171</v>
      </c>
      <c r="C556" s="4">
        <v>41</v>
      </c>
      <c r="D556" s="8">
        <v>1.73</v>
      </c>
      <c r="E556" s="4">
        <v>1</v>
      </c>
      <c r="F556" s="8">
        <v>0.11</v>
      </c>
      <c r="G556" s="4">
        <v>40</v>
      </c>
      <c r="H556" s="8">
        <v>2.75</v>
      </c>
      <c r="I556" s="4">
        <v>0</v>
      </c>
    </row>
    <row r="557" spans="1:9" x14ac:dyDescent="0.2">
      <c r="A557" s="2">
        <v>13</v>
      </c>
      <c r="B557" s="1" t="s">
        <v>190</v>
      </c>
      <c r="C557" s="4">
        <v>38</v>
      </c>
      <c r="D557" s="8">
        <v>1.6</v>
      </c>
      <c r="E557" s="4">
        <v>21</v>
      </c>
      <c r="F557" s="8">
        <v>2.3199999999999998</v>
      </c>
      <c r="G557" s="4">
        <v>17</v>
      </c>
      <c r="H557" s="8">
        <v>1.17</v>
      </c>
      <c r="I557" s="4">
        <v>0</v>
      </c>
    </row>
    <row r="558" spans="1:9" x14ac:dyDescent="0.2">
      <c r="A558" s="2">
        <v>14</v>
      </c>
      <c r="B558" s="1" t="s">
        <v>154</v>
      </c>
      <c r="C558" s="4">
        <v>37</v>
      </c>
      <c r="D558" s="8">
        <v>1.56</v>
      </c>
      <c r="E558" s="4">
        <v>14</v>
      </c>
      <c r="F558" s="8">
        <v>1.54</v>
      </c>
      <c r="G558" s="4">
        <v>23</v>
      </c>
      <c r="H558" s="8">
        <v>1.58</v>
      </c>
      <c r="I558" s="4">
        <v>0</v>
      </c>
    </row>
    <row r="559" spans="1:9" x14ac:dyDescent="0.2">
      <c r="A559" s="2">
        <v>15</v>
      </c>
      <c r="B559" s="1" t="s">
        <v>150</v>
      </c>
      <c r="C559" s="4">
        <v>35</v>
      </c>
      <c r="D559" s="8">
        <v>1.48</v>
      </c>
      <c r="E559" s="4">
        <v>7</v>
      </c>
      <c r="F559" s="8">
        <v>0.77</v>
      </c>
      <c r="G559" s="4">
        <v>28</v>
      </c>
      <c r="H559" s="8">
        <v>1.93</v>
      </c>
      <c r="I559" s="4">
        <v>0</v>
      </c>
    </row>
    <row r="560" spans="1:9" x14ac:dyDescent="0.2">
      <c r="A560" s="2">
        <v>15</v>
      </c>
      <c r="B560" s="1" t="s">
        <v>160</v>
      </c>
      <c r="C560" s="4">
        <v>35</v>
      </c>
      <c r="D560" s="8">
        <v>1.48</v>
      </c>
      <c r="E560" s="4">
        <v>7</v>
      </c>
      <c r="F560" s="8">
        <v>0.77</v>
      </c>
      <c r="G560" s="4">
        <v>27</v>
      </c>
      <c r="H560" s="8">
        <v>1.86</v>
      </c>
      <c r="I560" s="4">
        <v>0</v>
      </c>
    </row>
    <row r="561" spans="1:9" x14ac:dyDescent="0.2">
      <c r="A561" s="2">
        <v>17</v>
      </c>
      <c r="B561" s="1" t="s">
        <v>148</v>
      </c>
      <c r="C561" s="4">
        <v>34</v>
      </c>
      <c r="D561" s="8">
        <v>1.44</v>
      </c>
      <c r="E561" s="4">
        <v>2</v>
      </c>
      <c r="F561" s="8">
        <v>0.22</v>
      </c>
      <c r="G561" s="4">
        <v>32</v>
      </c>
      <c r="H561" s="8">
        <v>2.2000000000000002</v>
      </c>
      <c r="I561" s="4">
        <v>0</v>
      </c>
    </row>
    <row r="562" spans="1:9" x14ac:dyDescent="0.2">
      <c r="A562" s="2">
        <v>17</v>
      </c>
      <c r="B562" s="1" t="s">
        <v>149</v>
      </c>
      <c r="C562" s="4">
        <v>34</v>
      </c>
      <c r="D562" s="8">
        <v>1.44</v>
      </c>
      <c r="E562" s="4">
        <v>0</v>
      </c>
      <c r="F562" s="8">
        <v>0</v>
      </c>
      <c r="G562" s="4">
        <v>34</v>
      </c>
      <c r="H562" s="8">
        <v>2.34</v>
      </c>
      <c r="I562" s="4">
        <v>0</v>
      </c>
    </row>
    <row r="563" spans="1:9" x14ac:dyDescent="0.2">
      <c r="A563" s="2">
        <v>17</v>
      </c>
      <c r="B563" s="1" t="s">
        <v>170</v>
      </c>
      <c r="C563" s="4">
        <v>34</v>
      </c>
      <c r="D563" s="8">
        <v>1.44</v>
      </c>
      <c r="E563" s="4">
        <v>29</v>
      </c>
      <c r="F563" s="8">
        <v>3.2</v>
      </c>
      <c r="G563" s="4">
        <v>5</v>
      </c>
      <c r="H563" s="8">
        <v>0.34</v>
      </c>
      <c r="I563" s="4">
        <v>0</v>
      </c>
    </row>
    <row r="564" spans="1:9" x14ac:dyDescent="0.2">
      <c r="A564" s="2">
        <v>20</v>
      </c>
      <c r="B564" s="1" t="s">
        <v>151</v>
      </c>
      <c r="C564" s="4">
        <v>33</v>
      </c>
      <c r="D564" s="8">
        <v>1.39</v>
      </c>
      <c r="E564" s="4">
        <v>5</v>
      </c>
      <c r="F564" s="8">
        <v>0.55000000000000004</v>
      </c>
      <c r="G564" s="4">
        <v>28</v>
      </c>
      <c r="H564" s="8">
        <v>1.93</v>
      </c>
      <c r="I564" s="4">
        <v>0</v>
      </c>
    </row>
    <row r="565" spans="1:9" x14ac:dyDescent="0.2">
      <c r="A565" s="1"/>
      <c r="C565" s="4"/>
      <c r="D565" s="8"/>
      <c r="E565" s="4"/>
      <c r="F565" s="8"/>
      <c r="G565" s="4"/>
      <c r="H565" s="8"/>
      <c r="I565" s="4"/>
    </row>
    <row r="566" spans="1:9" x14ac:dyDescent="0.2">
      <c r="A566" s="1" t="s">
        <v>25</v>
      </c>
      <c r="C566" s="4"/>
      <c r="D566" s="8"/>
      <c r="E566" s="4"/>
      <c r="F566" s="8"/>
      <c r="G566" s="4"/>
      <c r="H566" s="8"/>
      <c r="I566" s="4"/>
    </row>
    <row r="567" spans="1:9" x14ac:dyDescent="0.2">
      <c r="A567" s="2">
        <v>1</v>
      </c>
      <c r="B567" s="1" t="s">
        <v>164</v>
      </c>
      <c r="C567" s="4">
        <v>153</v>
      </c>
      <c r="D567" s="8">
        <v>6.04</v>
      </c>
      <c r="E567" s="4">
        <v>124</v>
      </c>
      <c r="F567" s="8">
        <v>11.8</v>
      </c>
      <c r="G567" s="4">
        <v>29</v>
      </c>
      <c r="H567" s="8">
        <v>1.96</v>
      </c>
      <c r="I567" s="4">
        <v>0</v>
      </c>
    </row>
    <row r="568" spans="1:9" x14ac:dyDescent="0.2">
      <c r="A568" s="2">
        <v>2</v>
      </c>
      <c r="B568" s="1" t="s">
        <v>162</v>
      </c>
      <c r="C568" s="4">
        <v>103</v>
      </c>
      <c r="D568" s="8">
        <v>4.0599999999999996</v>
      </c>
      <c r="E568" s="4">
        <v>84</v>
      </c>
      <c r="F568" s="8">
        <v>7.99</v>
      </c>
      <c r="G568" s="4">
        <v>19</v>
      </c>
      <c r="H568" s="8">
        <v>1.28</v>
      </c>
      <c r="I568" s="4">
        <v>0</v>
      </c>
    </row>
    <row r="569" spans="1:9" x14ac:dyDescent="0.2">
      <c r="A569" s="2">
        <v>3</v>
      </c>
      <c r="B569" s="1" t="s">
        <v>163</v>
      </c>
      <c r="C569" s="4">
        <v>101</v>
      </c>
      <c r="D569" s="8">
        <v>3.98</v>
      </c>
      <c r="E569" s="4">
        <v>94</v>
      </c>
      <c r="F569" s="8">
        <v>8.94</v>
      </c>
      <c r="G569" s="4">
        <v>7</v>
      </c>
      <c r="H569" s="8">
        <v>0.47</v>
      </c>
      <c r="I569" s="4">
        <v>0</v>
      </c>
    </row>
    <row r="570" spans="1:9" x14ac:dyDescent="0.2">
      <c r="A570" s="2">
        <v>4</v>
      </c>
      <c r="B570" s="1" t="s">
        <v>165</v>
      </c>
      <c r="C570" s="4">
        <v>88</v>
      </c>
      <c r="D570" s="8">
        <v>3.47</v>
      </c>
      <c r="E570" s="4">
        <v>65</v>
      </c>
      <c r="F570" s="8">
        <v>6.18</v>
      </c>
      <c r="G570" s="4">
        <v>23</v>
      </c>
      <c r="H570" s="8">
        <v>1.55</v>
      </c>
      <c r="I570" s="4">
        <v>0</v>
      </c>
    </row>
    <row r="571" spans="1:9" x14ac:dyDescent="0.2">
      <c r="A571" s="2">
        <v>5</v>
      </c>
      <c r="B571" s="1" t="s">
        <v>166</v>
      </c>
      <c r="C571" s="4">
        <v>82</v>
      </c>
      <c r="D571" s="8">
        <v>3.23</v>
      </c>
      <c r="E571" s="4">
        <v>62</v>
      </c>
      <c r="F571" s="8">
        <v>5.9</v>
      </c>
      <c r="G571" s="4">
        <v>20</v>
      </c>
      <c r="H571" s="8">
        <v>1.35</v>
      </c>
      <c r="I571" s="4">
        <v>0</v>
      </c>
    </row>
    <row r="572" spans="1:9" x14ac:dyDescent="0.2">
      <c r="A572" s="2">
        <v>6</v>
      </c>
      <c r="B572" s="1" t="s">
        <v>161</v>
      </c>
      <c r="C572" s="4">
        <v>76</v>
      </c>
      <c r="D572" s="8">
        <v>3</v>
      </c>
      <c r="E572" s="4">
        <v>59</v>
      </c>
      <c r="F572" s="8">
        <v>5.61</v>
      </c>
      <c r="G572" s="4">
        <v>17</v>
      </c>
      <c r="H572" s="8">
        <v>1.1499999999999999</v>
      </c>
      <c r="I572" s="4">
        <v>0</v>
      </c>
    </row>
    <row r="573" spans="1:9" x14ac:dyDescent="0.2">
      <c r="A573" s="2">
        <v>7</v>
      </c>
      <c r="B573" s="1" t="s">
        <v>158</v>
      </c>
      <c r="C573" s="4">
        <v>73</v>
      </c>
      <c r="D573" s="8">
        <v>2.88</v>
      </c>
      <c r="E573" s="4">
        <v>18</v>
      </c>
      <c r="F573" s="8">
        <v>1.71</v>
      </c>
      <c r="G573" s="4">
        <v>55</v>
      </c>
      <c r="H573" s="8">
        <v>3.72</v>
      </c>
      <c r="I573" s="4">
        <v>0</v>
      </c>
    </row>
    <row r="574" spans="1:9" x14ac:dyDescent="0.2">
      <c r="A574" s="2">
        <v>8</v>
      </c>
      <c r="B574" s="1" t="s">
        <v>180</v>
      </c>
      <c r="C574" s="4">
        <v>51</v>
      </c>
      <c r="D574" s="8">
        <v>2.0099999999999998</v>
      </c>
      <c r="E574" s="4">
        <v>37</v>
      </c>
      <c r="F574" s="8">
        <v>3.52</v>
      </c>
      <c r="G574" s="4">
        <v>14</v>
      </c>
      <c r="H574" s="8">
        <v>0.95</v>
      </c>
      <c r="I574" s="4">
        <v>0</v>
      </c>
    </row>
    <row r="575" spans="1:9" x14ac:dyDescent="0.2">
      <c r="A575" s="2">
        <v>9</v>
      </c>
      <c r="B575" s="1" t="s">
        <v>193</v>
      </c>
      <c r="C575" s="4">
        <v>45</v>
      </c>
      <c r="D575" s="8">
        <v>1.78</v>
      </c>
      <c r="E575" s="4">
        <v>42</v>
      </c>
      <c r="F575" s="8">
        <v>4</v>
      </c>
      <c r="G575" s="4">
        <v>3</v>
      </c>
      <c r="H575" s="8">
        <v>0.2</v>
      </c>
      <c r="I575" s="4">
        <v>0</v>
      </c>
    </row>
    <row r="576" spans="1:9" x14ac:dyDescent="0.2">
      <c r="A576" s="2">
        <v>10</v>
      </c>
      <c r="B576" s="1" t="s">
        <v>155</v>
      </c>
      <c r="C576" s="4">
        <v>43</v>
      </c>
      <c r="D576" s="8">
        <v>1.7</v>
      </c>
      <c r="E576" s="4">
        <v>11</v>
      </c>
      <c r="F576" s="8">
        <v>1.05</v>
      </c>
      <c r="G576" s="4">
        <v>32</v>
      </c>
      <c r="H576" s="8">
        <v>2.16</v>
      </c>
      <c r="I576" s="4">
        <v>0</v>
      </c>
    </row>
    <row r="577" spans="1:9" x14ac:dyDescent="0.2">
      <c r="A577" s="2">
        <v>10</v>
      </c>
      <c r="B577" s="1" t="s">
        <v>169</v>
      </c>
      <c r="C577" s="4">
        <v>43</v>
      </c>
      <c r="D577" s="8">
        <v>1.7</v>
      </c>
      <c r="E577" s="4">
        <v>16</v>
      </c>
      <c r="F577" s="8">
        <v>1.52</v>
      </c>
      <c r="G577" s="4">
        <v>27</v>
      </c>
      <c r="H577" s="8">
        <v>1.82</v>
      </c>
      <c r="I577" s="4">
        <v>0</v>
      </c>
    </row>
    <row r="578" spans="1:9" x14ac:dyDescent="0.2">
      <c r="A578" s="2">
        <v>12</v>
      </c>
      <c r="B578" s="1" t="s">
        <v>154</v>
      </c>
      <c r="C578" s="4">
        <v>42</v>
      </c>
      <c r="D578" s="8">
        <v>1.66</v>
      </c>
      <c r="E578" s="4">
        <v>23</v>
      </c>
      <c r="F578" s="8">
        <v>2.19</v>
      </c>
      <c r="G578" s="4">
        <v>19</v>
      </c>
      <c r="H578" s="8">
        <v>1.28</v>
      </c>
      <c r="I578" s="4">
        <v>0</v>
      </c>
    </row>
    <row r="579" spans="1:9" x14ac:dyDescent="0.2">
      <c r="A579" s="2">
        <v>13</v>
      </c>
      <c r="B579" s="1" t="s">
        <v>177</v>
      </c>
      <c r="C579" s="4">
        <v>40</v>
      </c>
      <c r="D579" s="8">
        <v>1.58</v>
      </c>
      <c r="E579" s="4">
        <v>11</v>
      </c>
      <c r="F579" s="8">
        <v>1.05</v>
      </c>
      <c r="G579" s="4">
        <v>29</v>
      </c>
      <c r="H579" s="8">
        <v>1.96</v>
      </c>
      <c r="I579" s="4">
        <v>0</v>
      </c>
    </row>
    <row r="580" spans="1:9" x14ac:dyDescent="0.2">
      <c r="A580" s="2">
        <v>13</v>
      </c>
      <c r="B580" s="1" t="s">
        <v>156</v>
      </c>
      <c r="C580" s="4">
        <v>40</v>
      </c>
      <c r="D580" s="8">
        <v>1.58</v>
      </c>
      <c r="E580" s="4">
        <v>21</v>
      </c>
      <c r="F580" s="8">
        <v>2</v>
      </c>
      <c r="G580" s="4">
        <v>19</v>
      </c>
      <c r="H580" s="8">
        <v>1.28</v>
      </c>
      <c r="I580" s="4">
        <v>0</v>
      </c>
    </row>
    <row r="581" spans="1:9" x14ac:dyDescent="0.2">
      <c r="A581" s="2">
        <v>15</v>
      </c>
      <c r="B581" s="1" t="s">
        <v>170</v>
      </c>
      <c r="C581" s="4">
        <v>39</v>
      </c>
      <c r="D581" s="8">
        <v>1.54</v>
      </c>
      <c r="E581" s="4">
        <v>36</v>
      </c>
      <c r="F581" s="8">
        <v>3.43</v>
      </c>
      <c r="G581" s="4">
        <v>3</v>
      </c>
      <c r="H581" s="8">
        <v>0.2</v>
      </c>
      <c r="I581" s="4">
        <v>0</v>
      </c>
    </row>
    <row r="582" spans="1:9" x14ac:dyDescent="0.2">
      <c r="A582" s="2">
        <v>15</v>
      </c>
      <c r="B582" s="1" t="s">
        <v>167</v>
      </c>
      <c r="C582" s="4">
        <v>39</v>
      </c>
      <c r="D582" s="8">
        <v>1.54</v>
      </c>
      <c r="E582" s="4">
        <v>16</v>
      </c>
      <c r="F582" s="8">
        <v>1.52</v>
      </c>
      <c r="G582" s="4">
        <v>23</v>
      </c>
      <c r="H582" s="8">
        <v>1.55</v>
      </c>
      <c r="I582" s="4">
        <v>0</v>
      </c>
    </row>
    <row r="583" spans="1:9" x14ac:dyDescent="0.2">
      <c r="A583" s="2">
        <v>17</v>
      </c>
      <c r="B583" s="1" t="s">
        <v>159</v>
      </c>
      <c r="C583" s="4">
        <v>37</v>
      </c>
      <c r="D583" s="8">
        <v>1.46</v>
      </c>
      <c r="E583" s="4">
        <v>1</v>
      </c>
      <c r="F583" s="8">
        <v>0.1</v>
      </c>
      <c r="G583" s="4">
        <v>36</v>
      </c>
      <c r="H583" s="8">
        <v>2.4300000000000002</v>
      </c>
      <c r="I583" s="4">
        <v>0</v>
      </c>
    </row>
    <row r="584" spans="1:9" x14ac:dyDescent="0.2">
      <c r="A584" s="2">
        <v>18</v>
      </c>
      <c r="B584" s="1" t="s">
        <v>157</v>
      </c>
      <c r="C584" s="4">
        <v>36</v>
      </c>
      <c r="D584" s="8">
        <v>1.42</v>
      </c>
      <c r="E584" s="4">
        <v>2</v>
      </c>
      <c r="F584" s="8">
        <v>0.19</v>
      </c>
      <c r="G584" s="4">
        <v>34</v>
      </c>
      <c r="H584" s="8">
        <v>2.2999999999999998</v>
      </c>
      <c r="I584" s="4">
        <v>0</v>
      </c>
    </row>
    <row r="585" spans="1:9" x14ac:dyDescent="0.2">
      <c r="A585" s="2">
        <v>19</v>
      </c>
      <c r="B585" s="1" t="s">
        <v>152</v>
      </c>
      <c r="C585" s="4">
        <v>35</v>
      </c>
      <c r="D585" s="8">
        <v>1.38</v>
      </c>
      <c r="E585" s="4">
        <v>4</v>
      </c>
      <c r="F585" s="8">
        <v>0.38</v>
      </c>
      <c r="G585" s="4">
        <v>31</v>
      </c>
      <c r="H585" s="8">
        <v>2.09</v>
      </c>
      <c r="I585" s="4">
        <v>0</v>
      </c>
    </row>
    <row r="586" spans="1:9" x14ac:dyDescent="0.2">
      <c r="A586" s="2">
        <v>19</v>
      </c>
      <c r="B586" s="1" t="s">
        <v>171</v>
      </c>
      <c r="C586" s="4">
        <v>35</v>
      </c>
      <c r="D586" s="8">
        <v>1.38</v>
      </c>
      <c r="E586" s="4">
        <v>1</v>
      </c>
      <c r="F586" s="8">
        <v>0.1</v>
      </c>
      <c r="G586" s="4">
        <v>34</v>
      </c>
      <c r="H586" s="8">
        <v>2.2999999999999998</v>
      </c>
      <c r="I586" s="4">
        <v>0</v>
      </c>
    </row>
    <row r="587" spans="1:9" x14ac:dyDescent="0.2">
      <c r="A587" s="1"/>
      <c r="C587" s="4"/>
      <c r="D587" s="8"/>
      <c r="E587" s="4"/>
      <c r="F587" s="8"/>
      <c r="G587" s="4"/>
      <c r="H587" s="8"/>
      <c r="I587" s="4"/>
    </row>
    <row r="588" spans="1:9" x14ac:dyDescent="0.2">
      <c r="A588" s="1" t="s">
        <v>26</v>
      </c>
      <c r="C588" s="4"/>
      <c r="D588" s="8"/>
      <c r="E588" s="4"/>
      <c r="F588" s="8"/>
      <c r="G588" s="4"/>
      <c r="H588" s="8"/>
      <c r="I588" s="4"/>
    </row>
    <row r="589" spans="1:9" x14ac:dyDescent="0.2">
      <c r="A589" s="2">
        <v>1</v>
      </c>
      <c r="B589" s="1" t="s">
        <v>164</v>
      </c>
      <c r="C589" s="4">
        <v>94</v>
      </c>
      <c r="D589" s="8">
        <v>5.6</v>
      </c>
      <c r="E589" s="4">
        <v>80</v>
      </c>
      <c r="F589" s="8">
        <v>10.57</v>
      </c>
      <c r="G589" s="4">
        <v>14</v>
      </c>
      <c r="H589" s="8">
        <v>1.53</v>
      </c>
      <c r="I589" s="4">
        <v>0</v>
      </c>
    </row>
    <row r="590" spans="1:9" x14ac:dyDescent="0.2">
      <c r="A590" s="2">
        <v>2</v>
      </c>
      <c r="B590" s="1" t="s">
        <v>158</v>
      </c>
      <c r="C590" s="4">
        <v>80</v>
      </c>
      <c r="D590" s="8">
        <v>4.7699999999999996</v>
      </c>
      <c r="E590" s="4">
        <v>14</v>
      </c>
      <c r="F590" s="8">
        <v>1.85</v>
      </c>
      <c r="G590" s="4">
        <v>66</v>
      </c>
      <c r="H590" s="8">
        <v>7.21</v>
      </c>
      <c r="I590" s="4">
        <v>0</v>
      </c>
    </row>
    <row r="591" spans="1:9" x14ac:dyDescent="0.2">
      <c r="A591" s="2">
        <v>3</v>
      </c>
      <c r="B591" s="1" t="s">
        <v>166</v>
      </c>
      <c r="C591" s="4">
        <v>73</v>
      </c>
      <c r="D591" s="8">
        <v>4.3499999999999996</v>
      </c>
      <c r="E591" s="4">
        <v>62</v>
      </c>
      <c r="F591" s="8">
        <v>8.19</v>
      </c>
      <c r="G591" s="4">
        <v>11</v>
      </c>
      <c r="H591" s="8">
        <v>1.2</v>
      </c>
      <c r="I591" s="4">
        <v>0</v>
      </c>
    </row>
    <row r="592" spans="1:9" x14ac:dyDescent="0.2">
      <c r="A592" s="2">
        <v>4</v>
      </c>
      <c r="B592" s="1" t="s">
        <v>165</v>
      </c>
      <c r="C592" s="4">
        <v>68</v>
      </c>
      <c r="D592" s="8">
        <v>4.05</v>
      </c>
      <c r="E592" s="4">
        <v>48</v>
      </c>
      <c r="F592" s="8">
        <v>6.34</v>
      </c>
      <c r="G592" s="4">
        <v>20</v>
      </c>
      <c r="H592" s="8">
        <v>2.1800000000000002</v>
      </c>
      <c r="I592" s="4">
        <v>0</v>
      </c>
    </row>
    <row r="593" spans="1:9" x14ac:dyDescent="0.2">
      <c r="A593" s="2">
        <v>5</v>
      </c>
      <c r="B593" s="1" t="s">
        <v>163</v>
      </c>
      <c r="C593" s="4">
        <v>62</v>
      </c>
      <c r="D593" s="8">
        <v>3.69</v>
      </c>
      <c r="E593" s="4">
        <v>58</v>
      </c>
      <c r="F593" s="8">
        <v>7.66</v>
      </c>
      <c r="G593" s="4">
        <v>4</v>
      </c>
      <c r="H593" s="8">
        <v>0.44</v>
      </c>
      <c r="I593" s="4">
        <v>0</v>
      </c>
    </row>
    <row r="594" spans="1:9" x14ac:dyDescent="0.2">
      <c r="A594" s="2">
        <v>6</v>
      </c>
      <c r="B594" s="1" t="s">
        <v>161</v>
      </c>
      <c r="C594" s="4">
        <v>43</v>
      </c>
      <c r="D594" s="8">
        <v>2.56</v>
      </c>
      <c r="E594" s="4">
        <v>34</v>
      </c>
      <c r="F594" s="8">
        <v>4.49</v>
      </c>
      <c r="G594" s="4">
        <v>9</v>
      </c>
      <c r="H594" s="8">
        <v>0.98</v>
      </c>
      <c r="I594" s="4">
        <v>0</v>
      </c>
    </row>
    <row r="595" spans="1:9" x14ac:dyDescent="0.2">
      <c r="A595" s="2">
        <v>7</v>
      </c>
      <c r="B595" s="1" t="s">
        <v>156</v>
      </c>
      <c r="C595" s="4">
        <v>36</v>
      </c>
      <c r="D595" s="8">
        <v>2.15</v>
      </c>
      <c r="E595" s="4">
        <v>21</v>
      </c>
      <c r="F595" s="8">
        <v>2.77</v>
      </c>
      <c r="G595" s="4">
        <v>15</v>
      </c>
      <c r="H595" s="8">
        <v>1.64</v>
      </c>
      <c r="I595" s="4">
        <v>0</v>
      </c>
    </row>
    <row r="596" spans="1:9" x14ac:dyDescent="0.2">
      <c r="A596" s="2">
        <v>7</v>
      </c>
      <c r="B596" s="1" t="s">
        <v>162</v>
      </c>
      <c r="C596" s="4">
        <v>36</v>
      </c>
      <c r="D596" s="8">
        <v>2.15</v>
      </c>
      <c r="E596" s="4">
        <v>32</v>
      </c>
      <c r="F596" s="8">
        <v>4.2300000000000004</v>
      </c>
      <c r="G596" s="4">
        <v>4</v>
      </c>
      <c r="H596" s="8">
        <v>0.44</v>
      </c>
      <c r="I596" s="4">
        <v>0</v>
      </c>
    </row>
    <row r="597" spans="1:9" x14ac:dyDescent="0.2">
      <c r="A597" s="2">
        <v>9</v>
      </c>
      <c r="B597" s="1" t="s">
        <v>152</v>
      </c>
      <c r="C597" s="4">
        <v>33</v>
      </c>
      <c r="D597" s="8">
        <v>1.97</v>
      </c>
      <c r="E597" s="4">
        <v>3</v>
      </c>
      <c r="F597" s="8">
        <v>0.4</v>
      </c>
      <c r="G597" s="4">
        <v>30</v>
      </c>
      <c r="H597" s="8">
        <v>3.28</v>
      </c>
      <c r="I597" s="4">
        <v>0</v>
      </c>
    </row>
    <row r="598" spans="1:9" x14ac:dyDescent="0.2">
      <c r="A598" s="2">
        <v>9</v>
      </c>
      <c r="B598" s="1" t="s">
        <v>180</v>
      </c>
      <c r="C598" s="4">
        <v>33</v>
      </c>
      <c r="D598" s="8">
        <v>1.97</v>
      </c>
      <c r="E598" s="4">
        <v>26</v>
      </c>
      <c r="F598" s="8">
        <v>3.43</v>
      </c>
      <c r="G598" s="4">
        <v>7</v>
      </c>
      <c r="H598" s="8">
        <v>0.76</v>
      </c>
      <c r="I598" s="4">
        <v>0</v>
      </c>
    </row>
    <row r="599" spans="1:9" x14ac:dyDescent="0.2">
      <c r="A599" s="2">
        <v>11</v>
      </c>
      <c r="B599" s="1" t="s">
        <v>154</v>
      </c>
      <c r="C599" s="4">
        <v>30</v>
      </c>
      <c r="D599" s="8">
        <v>1.79</v>
      </c>
      <c r="E599" s="4">
        <v>18</v>
      </c>
      <c r="F599" s="8">
        <v>2.38</v>
      </c>
      <c r="G599" s="4">
        <v>11</v>
      </c>
      <c r="H599" s="8">
        <v>1.2</v>
      </c>
      <c r="I599" s="4">
        <v>1</v>
      </c>
    </row>
    <row r="600" spans="1:9" x14ac:dyDescent="0.2">
      <c r="A600" s="2">
        <v>12</v>
      </c>
      <c r="B600" s="1" t="s">
        <v>182</v>
      </c>
      <c r="C600" s="4">
        <v>29</v>
      </c>
      <c r="D600" s="8">
        <v>1.73</v>
      </c>
      <c r="E600" s="4">
        <v>0</v>
      </c>
      <c r="F600" s="8">
        <v>0</v>
      </c>
      <c r="G600" s="4">
        <v>29</v>
      </c>
      <c r="H600" s="8">
        <v>3.17</v>
      </c>
      <c r="I600" s="4">
        <v>0</v>
      </c>
    </row>
    <row r="601" spans="1:9" x14ac:dyDescent="0.2">
      <c r="A601" s="2">
        <v>13</v>
      </c>
      <c r="B601" s="1" t="s">
        <v>150</v>
      </c>
      <c r="C601" s="4">
        <v>27</v>
      </c>
      <c r="D601" s="8">
        <v>1.61</v>
      </c>
      <c r="E601" s="4">
        <v>8</v>
      </c>
      <c r="F601" s="8">
        <v>1.06</v>
      </c>
      <c r="G601" s="4">
        <v>19</v>
      </c>
      <c r="H601" s="8">
        <v>2.0699999999999998</v>
      </c>
      <c r="I601" s="4">
        <v>0</v>
      </c>
    </row>
    <row r="602" spans="1:9" x14ac:dyDescent="0.2">
      <c r="A602" s="2">
        <v>13</v>
      </c>
      <c r="B602" s="1" t="s">
        <v>151</v>
      </c>
      <c r="C602" s="4">
        <v>27</v>
      </c>
      <c r="D602" s="8">
        <v>1.61</v>
      </c>
      <c r="E602" s="4">
        <v>2</v>
      </c>
      <c r="F602" s="8">
        <v>0.26</v>
      </c>
      <c r="G602" s="4">
        <v>25</v>
      </c>
      <c r="H602" s="8">
        <v>2.73</v>
      </c>
      <c r="I602" s="4">
        <v>0</v>
      </c>
    </row>
    <row r="603" spans="1:9" x14ac:dyDescent="0.2">
      <c r="A603" s="2">
        <v>13</v>
      </c>
      <c r="B603" s="1" t="s">
        <v>159</v>
      </c>
      <c r="C603" s="4">
        <v>27</v>
      </c>
      <c r="D603" s="8">
        <v>1.61</v>
      </c>
      <c r="E603" s="4">
        <v>0</v>
      </c>
      <c r="F603" s="8">
        <v>0</v>
      </c>
      <c r="G603" s="4">
        <v>27</v>
      </c>
      <c r="H603" s="8">
        <v>2.95</v>
      </c>
      <c r="I603" s="4">
        <v>0</v>
      </c>
    </row>
    <row r="604" spans="1:9" x14ac:dyDescent="0.2">
      <c r="A604" s="2">
        <v>16</v>
      </c>
      <c r="B604" s="1" t="s">
        <v>155</v>
      </c>
      <c r="C604" s="4">
        <v>25</v>
      </c>
      <c r="D604" s="8">
        <v>1.49</v>
      </c>
      <c r="E604" s="4">
        <v>10</v>
      </c>
      <c r="F604" s="8">
        <v>1.32</v>
      </c>
      <c r="G604" s="4">
        <v>15</v>
      </c>
      <c r="H604" s="8">
        <v>1.64</v>
      </c>
      <c r="I604" s="4">
        <v>0</v>
      </c>
    </row>
    <row r="605" spans="1:9" x14ac:dyDescent="0.2">
      <c r="A605" s="2">
        <v>17</v>
      </c>
      <c r="B605" s="1" t="s">
        <v>170</v>
      </c>
      <c r="C605" s="4">
        <v>24</v>
      </c>
      <c r="D605" s="8">
        <v>1.43</v>
      </c>
      <c r="E605" s="4">
        <v>21</v>
      </c>
      <c r="F605" s="8">
        <v>2.77</v>
      </c>
      <c r="G605" s="4">
        <v>3</v>
      </c>
      <c r="H605" s="8">
        <v>0.33</v>
      </c>
      <c r="I605" s="4">
        <v>0</v>
      </c>
    </row>
    <row r="606" spans="1:9" x14ac:dyDescent="0.2">
      <c r="A606" s="2">
        <v>18</v>
      </c>
      <c r="B606" s="1" t="s">
        <v>195</v>
      </c>
      <c r="C606" s="4">
        <v>23</v>
      </c>
      <c r="D606" s="8">
        <v>1.37</v>
      </c>
      <c r="E606" s="4">
        <v>20</v>
      </c>
      <c r="F606" s="8">
        <v>2.64</v>
      </c>
      <c r="G606" s="4">
        <v>3</v>
      </c>
      <c r="H606" s="8">
        <v>0.33</v>
      </c>
      <c r="I606" s="4">
        <v>0</v>
      </c>
    </row>
    <row r="607" spans="1:9" x14ac:dyDescent="0.2">
      <c r="A607" s="2">
        <v>19</v>
      </c>
      <c r="B607" s="1" t="s">
        <v>196</v>
      </c>
      <c r="C607" s="4">
        <v>22</v>
      </c>
      <c r="D607" s="8">
        <v>1.31</v>
      </c>
      <c r="E607" s="4">
        <v>7</v>
      </c>
      <c r="F607" s="8">
        <v>0.92</v>
      </c>
      <c r="G607" s="4">
        <v>15</v>
      </c>
      <c r="H607" s="8">
        <v>1.64</v>
      </c>
      <c r="I607" s="4">
        <v>0</v>
      </c>
    </row>
    <row r="608" spans="1:9" x14ac:dyDescent="0.2">
      <c r="A608" s="2">
        <v>19</v>
      </c>
      <c r="B608" s="1" t="s">
        <v>153</v>
      </c>
      <c r="C608" s="4">
        <v>22</v>
      </c>
      <c r="D608" s="8">
        <v>1.31</v>
      </c>
      <c r="E608" s="4">
        <v>5</v>
      </c>
      <c r="F608" s="8">
        <v>0.66</v>
      </c>
      <c r="G608" s="4">
        <v>17</v>
      </c>
      <c r="H608" s="8">
        <v>1.86</v>
      </c>
      <c r="I608" s="4">
        <v>0</v>
      </c>
    </row>
    <row r="609" spans="1:9" x14ac:dyDescent="0.2">
      <c r="A609" s="2">
        <v>19</v>
      </c>
      <c r="B609" s="1" t="s">
        <v>168</v>
      </c>
      <c r="C609" s="4">
        <v>22</v>
      </c>
      <c r="D609" s="8">
        <v>1.31</v>
      </c>
      <c r="E609" s="4">
        <v>10</v>
      </c>
      <c r="F609" s="8">
        <v>1.32</v>
      </c>
      <c r="G609" s="4">
        <v>12</v>
      </c>
      <c r="H609" s="8">
        <v>1.31</v>
      </c>
      <c r="I609" s="4">
        <v>0</v>
      </c>
    </row>
    <row r="610" spans="1:9" x14ac:dyDescent="0.2">
      <c r="A610" s="2">
        <v>19</v>
      </c>
      <c r="B610" s="1" t="s">
        <v>178</v>
      </c>
      <c r="C610" s="4">
        <v>22</v>
      </c>
      <c r="D610" s="8">
        <v>1.31</v>
      </c>
      <c r="E610" s="4">
        <v>2</v>
      </c>
      <c r="F610" s="8">
        <v>0.26</v>
      </c>
      <c r="G610" s="4">
        <v>20</v>
      </c>
      <c r="H610" s="8">
        <v>2.1800000000000002</v>
      </c>
      <c r="I610" s="4">
        <v>0</v>
      </c>
    </row>
    <row r="611" spans="1:9" x14ac:dyDescent="0.2">
      <c r="A611" s="1"/>
      <c r="C611" s="4"/>
      <c r="D611" s="8"/>
      <c r="E611" s="4"/>
      <c r="F611" s="8"/>
      <c r="G611" s="4"/>
      <c r="H611" s="8"/>
      <c r="I611" s="4"/>
    </row>
    <row r="612" spans="1:9" x14ac:dyDescent="0.2">
      <c r="A612" s="1" t="s">
        <v>27</v>
      </c>
      <c r="C612" s="4"/>
      <c r="D612" s="8"/>
      <c r="E612" s="4"/>
      <c r="F612" s="8"/>
      <c r="G612" s="4"/>
      <c r="H612" s="8"/>
      <c r="I612" s="4"/>
    </row>
    <row r="613" spans="1:9" x14ac:dyDescent="0.2">
      <c r="A613" s="2">
        <v>1</v>
      </c>
      <c r="B613" s="1" t="s">
        <v>158</v>
      </c>
      <c r="C613" s="4">
        <v>73</v>
      </c>
      <c r="D613" s="8">
        <v>6.43</v>
      </c>
      <c r="E613" s="4">
        <v>58</v>
      </c>
      <c r="F613" s="8">
        <v>8.3000000000000007</v>
      </c>
      <c r="G613" s="4">
        <v>15</v>
      </c>
      <c r="H613" s="8">
        <v>3.57</v>
      </c>
      <c r="I613" s="4">
        <v>0</v>
      </c>
    </row>
    <row r="614" spans="1:9" x14ac:dyDescent="0.2">
      <c r="A614" s="2">
        <v>2</v>
      </c>
      <c r="B614" s="1" t="s">
        <v>164</v>
      </c>
      <c r="C614" s="4">
        <v>55</v>
      </c>
      <c r="D614" s="8">
        <v>4.84</v>
      </c>
      <c r="E614" s="4">
        <v>48</v>
      </c>
      <c r="F614" s="8">
        <v>6.87</v>
      </c>
      <c r="G614" s="4">
        <v>7</v>
      </c>
      <c r="H614" s="8">
        <v>1.67</v>
      </c>
      <c r="I614" s="4">
        <v>0</v>
      </c>
    </row>
    <row r="615" spans="1:9" x14ac:dyDescent="0.2">
      <c r="A615" s="2">
        <v>3</v>
      </c>
      <c r="B615" s="1" t="s">
        <v>161</v>
      </c>
      <c r="C615" s="4">
        <v>54</v>
      </c>
      <c r="D615" s="8">
        <v>4.75</v>
      </c>
      <c r="E615" s="4">
        <v>46</v>
      </c>
      <c r="F615" s="8">
        <v>6.58</v>
      </c>
      <c r="G615" s="4">
        <v>8</v>
      </c>
      <c r="H615" s="8">
        <v>1.9</v>
      </c>
      <c r="I615" s="4">
        <v>0</v>
      </c>
    </row>
    <row r="616" spans="1:9" x14ac:dyDescent="0.2">
      <c r="A616" s="2">
        <v>4</v>
      </c>
      <c r="B616" s="1" t="s">
        <v>162</v>
      </c>
      <c r="C616" s="4">
        <v>45</v>
      </c>
      <c r="D616" s="8">
        <v>3.96</v>
      </c>
      <c r="E616" s="4">
        <v>43</v>
      </c>
      <c r="F616" s="8">
        <v>6.15</v>
      </c>
      <c r="G616" s="4">
        <v>2</v>
      </c>
      <c r="H616" s="8">
        <v>0.48</v>
      </c>
      <c r="I616" s="4">
        <v>0</v>
      </c>
    </row>
    <row r="617" spans="1:9" x14ac:dyDescent="0.2">
      <c r="A617" s="2">
        <v>5</v>
      </c>
      <c r="B617" s="1" t="s">
        <v>163</v>
      </c>
      <c r="C617" s="4">
        <v>41</v>
      </c>
      <c r="D617" s="8">
        <v>3.61</v>
      </c>
      <c r="E617" s="4">
        <v>39</v>
      </c>
      <c r="F617" s="8">
        <v>5.58</v>
      </c>
      <c r="G617" s="4">
        <v>2</v>
      </c>
      <c r="H617" s="8">
        <v>0.48</v>
      </c>
      <c r="I617" s="4">
        <v>0</v>
      </c>
    </row>
    <row r="618" spans="1:9" x14ac:dyDescent="0.2">
      <c r="A618" s="2">
        <v>6</v>
      </c>
      <c r="B618" s="1" t="s">
        <v>150</v>
      </c>
      <c r="C618" s="4">
        <v>28</v>
      </c>
      <c r="D618" s="8">
        <v>2.46</v>
      </c>
      <c r="E618" s="4">
        <v>23</v>
      </c>
      <c r="F618" s="8">
        <v>3.29</v>
      </c>
      <c r="G618" s="4">
        <v>5</v>
      </c>
      <c r="H618" s="8">
        <v>1.19</v>
      </c>
      <c r="I618" s="4">
        <v>0</v>
      </c>
    </row>
    <row r="619" spans="1:9" x14ac:dyDescent="0.2">
      <c r="A619" s="2">
        <v>7</v>
      </c>
      <c r="B619" s="1" t="s">
        <v>194</v>
      </c>
      <c r="C619" s="4">
        <v>27</v>
      </c>
      <c r="D619" s="8">
        <v>2.38</v>
      </c>
      <c r="E619" s="4">
        <v>23</v>
      </c>
      <c r="F619" s="8">
        <v>3.29</v>
      </c>
      <c r="G619" s="4">
        <v>4</v>
      </c>
      <c r="H619" s="8">
        <v>0.95</v>
      </c>
      <c r="I619" s="4">
        <v>0</v>
      </c>
    </row>
    <row r="620" spans="1:9" x14ac:dyDescent="0.2">
      <c r="A620" s="2">
        <v>8</v>
      </c>
      <c r="B620" s="1" t="s">
        <v>154</v>
      </c>
      <c r="C620" s="4">
        <v>26</v>
      </c>
      <c r="D620" s="8">
        <v>2.29</v>
      </c>
      <c r="E620" s="4">
        <v>21</v>
      </c>
      <c r="F620" s="8">
        <v>3</v>
      </c>
      <c r="G620" s="4">
        <v>5</v>
      </c>
      <c r="H620" s="8">
        <v>1.19</v>
      </c>
      <c r="I620" s="4">
        <v>0</v>
      </c>
    </row>
    <row r="621" spans="1:9" x14ac:dyDescent="0.2">
      <c r="A621" s="2">
        <v>8</v>
      </c>
      <c r="B621" s="1" t="s">
        <v>156</v>
      </c>
      <c r="C621" s="4">
        <v>26</v>
      </c>
      <c r="D621" s="8">
        <v>2.29</v>
      </c>
      <c r="E621" s="4">
        <v>14</v>
      </c>
      <c r="F621" s="8">
        <v>2</v>
      </c>
      <c r="G621" s="4">
        <v>12</v>
      </c>
      <c r="H621" s="8">
        <v>2.86</v>
      </c>
      <c r="I621" s="4">
        <v>0</v>
      </c>
    </row>
    <row r="622" spans="1:9" x14ac:dyDescent="0.2">
      <c r="A622" s="2">
        <v>10</v>
      </c>
      <c r="B622" s="1" t="s">
        <v>192</v>
      </c>
      <c r="C622" s="4">
        <v>22</v>
      </c>
      <c r="D622" s="8">
        <v>1.94</v>
      </c>
      <c r="E622" s="4">
        <v>20</v>
      </c>
      <c r="F622" s="8">
        <v>2.86</v>
      </c>
      <c r="G622" s="4">
        <v>2</v>
      </c>
      <c r="H622" s="8">
        <v>0.48</v>
      </c>
      <c r="I622" s="4">
        <v>0</v>
      </c>
    </row>
    <row r="623" spans="1:9" x14ac:dyDescent="0.2">
      <c r="A623" s="2">
        <v>11</v>
      </c>
      <c r="B623" s="1" t="s">
        <v>190</v>
      </c>
      <c r="C623" s="4">
        <v>20</v>
      </c>
      <c r="D623" s="8">
        <v>1.76</v>
      </c>
      <c r="E623" s="4">
        <v>15</v>
      </c>
      <c r="F623" s="8">
        <v>2.15</v>
      </c>
      <c r="G623" s="4">
        <v>5</v>
      </c>
      <c r="H623" s="8">
        <v>1.19</v>
      </c>
      <c r="I623" s="4">
        <v>0</v>
      </c>
    </row>
    <row r="624" spans="1:9" x14ac:dyDescent="0.2">
      <c r="A624" s="2">
        <v>11</v>
      </c>
      <c r="B624" s="1" t="s">
        <v>202</v>
      </c>
      <c r="C624" s="4">
        <v>20</v>
      </c>
      <c r="D624" s="8">
        <v>1.76</v>
      </c>
      <c r="E624" s="4">
        <v>13</v>
      </c>
      <c r="F624" s="8">
        <v>1.86</v>
      </c>
      <c r="G624" s="4">
        <v>7</v>
      </c>
      <c r="H624" s="8">
        <v>1.67</v>
      </c>
      <c r="I624" s="4">
        <v>0</v>
      </c>
    </row>
    <row r="625" spans="1:9" x14ac:dyDescent="0.2">
      <c r="A625" s="2">
        <v>11</v>
      </c>
      <c r="B625" s="1" t="s">
        <v>193</v>
      </c>
      <c r="C625" s="4">
        <v>20</v>
      </c>
      <c r="D625" s="8">
        <v>1.76</v>
      </c>
      <c r="E625" s="4">
        <v>20</v>
      </c>
      <c r="F625" s="8">
        <v>2.86</v>
      </c>
      <c r="G625" s="4">
        <v>0</v>
      </c>
      <c r="H625" s="8">
        <v>0</v>
      </c>
      <c r="I625" s="4">
        <v>0</v>
      </c>
    </row>
    <row r="626" spans="1:9" x14ac:dyDescent="0.2">
      <c r="A626" s="2">
        <v>14</v>
      </c>
      <c r="B626" s="1" t="s">
        <v>149</v>
      </c>
      <c r="C626" s="4">
        <v>19</v>
      </c>
      <c r="D626" s="8">
        <v>1.67</v>
      </c>
      <c r="E626" s="4">
        <v>9</v>
      </c>
      <c r="F626" s="8">
        <v>1.29</v>
      </c>
      <c r="G626" s="4">
        <v>10</v>
      </c>
      <c r="H626" s="8">
        <v>2.38</v>
      </c>
      <c r="I626" s="4">
        <v>0</v>
      </c>
    </row>
    <row r="627" spans="1:9" x14ac:dyDescent="0.2">
      <c r="A627" s="2">
        <v>14</v>
      </c>
      <c r="B627" s="1" t="s">
        <v>165</v>
      </c>
      <c r="C627" s="4">
        <v>19</v>
      </c>
      <c r="D627" s="8">
        <v>1.67</v>
      </c>
      <c r="E627" s="4">
        <v>15</v>
      </c>
      <c r="F627" s="8">
        <v>2.15</v>
      </c>
      <c r="G627" s="4">
        <v>4</v>
      </c>
      <c r="H627" s="8">
        <v>0.95</v>
      </c>
      <c r="I627" s="4">
        <v>0</v>
      </c>
    </row>
    <row r="628" spans="1:9" x14ac:dyDescent="0.2">
      <c r="A628" s="2">
        <v>16</v>
      </c>
      <c r="B628" s="1" t="s">
        <v>187</v>
      </c>
      <c r="C628" s="4">
        <v>18</v>
      </c>
      <c r="D628" s="8">
        <v>1.58</v>
      </c>
      <c r="E628" s="4">
        <v>2</v>
      </c>
      <c r="F628" s="8">
        <v>0.28999999999999998</v>
      </c>
      <c r="G628" s="4">
        <v>16</v>
      </c>
      <c r="H628" s="8">
        <v>3.81</v>
      </c>
      <c r="I628" s="4">
        <v>0</v>
      </c>
    </row>
    <row r="629" spans="1:9" x14ac:dyDescent="0.2">
      <c r="A629" s="2">
        <v>16</v>
      </c>
      <c r="B629" s="1" t="s">
        <v>200</v>
      </c>
      <c r="C629" s="4">
        <v>18</v>
      </c>
      <c r="D629" s="8">
        <v>1.58</v>
      </c>
      <c r="E629" s="4">
        <v>14</v>
      </c>
      <c r="F629" s="8">
        <v>2</v>
      </c>
      <c r="G629" s="4">
        <v>4</v>
      </c>
      <c r="H629" s="8">
        <v>0.95</v>
      </c>
      <c r="I629" s="4">
        <v>0</v>
      </c>
    </row>
    <row r="630" spans="1:9" x14ac:dyDescent="0.2">
      <c r="A630" s="2">
        <v>18</v>
      </c>
      <c r="B630" s="1" t="s">
        <v>167</v>
      </c>
      <c r="C630" s="4">
        <v>17</v>
      </c>
      <c r="D630" s="8">
        <v>1.5</v>
      </c>
      <c r="E630" s="4">
        <v>12</v>
      </c>
      <c r="F630" s="8">
        <v>1.72</v>
      </c>
      <c r="G630" s="4">
        <v>5</v>
      </c>
      <c r="H630" s="8">
        <v>1.19</v>
      </c>
      <c r="I630" s="4">
        <v>0</v>
      </c>
    </row>
    <row r="631" spans="1:9" x14ac:dyDescent="0.2">
      <c r="A631" s="2">
        <v>19</v>
      </c>
      <c r="B631" s="1" t="s">
        <v>195</v>
      </c>
      <c r="C631" s="4">
        <v>16</v>
      </c>
      <c r="D631" s="8">
        <v>1.41</v>
      </c>
      <c r="E631" s="4">
        <v>13</v>
      </c>
      <c r="F631" s="8">
        <v>1.86</v>
      </c>
      <c r="G631" s="4">
        <v>3</v>
      </c>
      <c r="H631" s="8">
        <v>0.71</v>
      </c>
      <c r="I631" s="4">
        <v>0</v>
      </c>
    </row>
    <row r="632" spans="1:9" x14ac:dyDescent="0.2">
      <c r="A632" s="2">
        <v>20</v>
      </c>
      <c r="B632" s="1" t="s">
        <v>148</v>
      </c>
      <c r="C632" s="4">
        <v>15</v>
      </c>
      <c r="D632" s="8">
        <v>1.32</v>
      </c>
      <c r="E632" s="4">
        <v>3</v>
      </c>
      <c r="F632" s="8">
        <v>0.43</v>
      </c>
      <c r="G632" s="4">
        <v>12</v>
      </c>
      <c r="H632" s="8">
        <v>2.86</v>
      </c>
      <c r="I632" s="4">
        <v>0</v>
      </c>
    </row>
    <row r="633" spans="1:9" x14ac:dyDescent="0.2">
      <c r="A633" s="2">
        <v>20</v>
      </c>
      <c r="B633" s="1" t="s">
        <v>160</v>
      </c>
      <c r="C633" s="4">
        <v>15</v>
      </c>
      <c r="D633" s="8">
        <v>1.32</v>
      </c>
      <c r="E633" s="4">
        <v>7</v>
      </c>
      <c r="F633" s="8">
        <v>1</v>
      </c>
      <c r="G633" s="4">
        <v>8</v>
      </c>
      <c r="H633" s="8">
        <v>1.9</v>
      </c>
      <c r="I633" s="4">
        <v>0</v>
      </c>
    </row>
    <row r="634" spans="1:9" x14ac:dyDescent="0.2">
      <c r="A634" s="1"/>
      <c r="C634" s="4"/>
      <c r="D634" s="8"/>
      <c r="E634" s="4"/>
      <c r="F634" s="8"/>
      <c r="G634" s="4"/>
      <c r="H634" s="8"/>
      <c r="I634" s="4"/>
    </row>
    <row r="635" spans="1:9" x14ac:dyDescent="0.2">
      <c r="A635" s="1" t="s">
        <v>28</v>
      </c>
      <c r="C635" s="4"/>
      <c r="D635" s="8"/>
      <c r="E635" s="4"/>
      <c r="F635" s="8"/>
      <c r="G635" s="4"/>
      <c r="H635" s="8"/>
      <c r="I635" s="4"/>
    </row>
    <row r="636" spans="1:9" x14ac:dyDescent="0.2">
      <c r="A636" s="2">
        <v>1</v>
      </c>
      <c r="B636" s="1" t="s">
        <v>164</v>
      </c>
      <c r="C636" s="4">
        <v>82</v>
      </c>
      <c r="D636" s="8">
        <v>5.0999999999999996</v>
      </c>
      <c r="E636" s="4">
        <v>66</v>
      </c>
      <c r="F636" s="8">
        <v>10.15</v>
      </c>
      <c r="G636" s="4">
        <v>16</v>
      </c>
      <c r="H636" s="8">
        <v>1.68</v>
      </c>
      <c r="I636" s="4">
        <v>0</v>
      </c>
    </row>
    <row r="637" spans="1:9" x14ac:dyDescent="0.2">
      <c r="A637" s="2">
        <v>2</v>
      </c>
      <c r="B637" s="1" t="s">
        <v>163</v>
      </c>
      <c r="C637" s="4">
        <v>64</v>
      </c>
      <c r="D637" s="8">
        <v>3.98</v>
      </c>
      <c r="E637" s="4">
        <v>59</v>
      </c>
      <c r="F637" s="8">
        <v>9.08</v>
      </c>
      <c r="G637" s="4">
        <v>5</v>
      </c>
      <c r="H637" s="8">
        <v>0.52</v>
      </c>
      <c r="I637" s="4">
        <v>0</v>
      </c>
    </row>
    <row r="638" spans="1:9" x14ac:dyDescent="0.2">
      <c r="A638" s="2">
        <v>3</v>
      </c>
      <c r="B638" s="1" t="s">
        <v>166</v>
      </c>
      <c r="C638" s="4">
        <v>61</v>
      </c>
      <c r="D638" s="8">
        <v>3.8</v>
      </c>
      <c r="E638" s="4">
        <v>52</v>
      </c>
      <c r="F638" s="8">
        <v>8</v>
      </c>
      <c r="G638" s="4">
        <v>9</v>
      </c>
      <c r="H638" s="8">
        <v>0.94</v>
      </c>
      <c r="I638" s="4">
        <v>0</v>
      </c>
    </row>
    <row r="639" spans="1:9" x14ac:dyDescent="0.2">
      <c r="A639" s="2">
        <v>4</v>
      </c>
      <c r="B639" s="1" t="s">
        <v>161</v>
      </c>
      <c r="C639" s="4">
        <v>48</v>
      </c>
      <c r="D639" s="8">
        <v>2.99</v>
      </c>
      <c r="E639" s="4">
        <v>41</v>
      </c>
      <c r="F639" s="8">
        <v>6.31</v>
      </c>
      <c r="G639" s="4">
        <v>7</v>
      </c>
      <c r="H639" s="8">
        <v>0.73</v>
      </c>
      <c r="I639" s="4">
        <v>0</v>
      </c>
    </row>
    <row r="640" spans="1:9" x14ac:dyDescent="0.2">
      <c r="A640" s="2">
        <v>5</v>
      </c>
      <c r="B640" s="1" t="s">
        <v>162</v>
      </c>
      <c r="C640" s="4">
        <v>45</v>
      </c>
      <c r="D640" s="8">
        <v>2.8</v>
      </c>
      <c r="E640" s="4">
        <v>43</v>
      </c>
      <c r="F640" s="8">
        <v>6.62</v>
      </c>
      <c r="G640" s="4">
        <v>2</v>
      </c>
      <c r="H640" s="8">
        <v>0.21</v>
      </c>
      <c r="I640" s="4">
        <v>0</v>
      </c>
    </row>
    <row r="641" spans="1:9" x14ac:dyDescent="0.2">
      <c r="A641" s="2">
        <v>6</v>
      </c>
      <c r="B641" s="1" t="s">
        <v>153</v>
      </c>
      <c r="C641" s="4">
        <v>37</v>
      </c>
      <c r="D641" s="8">
        <v>2.2999999999999998</v>
      </c>
      <c r="E641" s="4">
        <v>4</v>
      </c>
      <c r="F641" s="8">
        <v>0.62</v>
      </c>
      <c r="G641" s="4">
        <v>33</v>
      </c>
      <c r="H641" s="8">
        <v>3.46</v>
      </c>
      <c r="I641" s="4">
        <v>0</v>
      </c>
    </row>
    <row r="642" spans="1:9" x14ac:dyDescent="0.2">
      <c r="A642" s="2">
        <v>6</v>
      </c>
      <c r="B642" s="1" t="s">
        <v>158</v>
      </c>
      <c r="C642" s="4">
        <v>37</v>
      </c>
      <c r="D642" s="8">
        <v>2.2999999999999998</v>
      </c>
      <c r="E642" s="4">
        <v>7</v>
      </c>
      <c r="F642" s="8">
        <v>1.08</v>
      </c>
      <c r="G642" s="4">
        <v>30</v>
      </c>
      <c r="H642" s="8">
        <v>3.15</v>
      </c>
      <c r="I642" s="4">
        <v>0</v>
      </c>
    </row>
    <row r="643" spans="1:9" x14ac:dyDescent="0.2">
      <c r="A643" s="2">
        <v>8</v>
      </c>
      <c r="B643" s="1" t="s">
        <v>151</v>
      </c>
      <c r="C643" s="4">
        <v>32</v>
      </c>
      <c r="D643" s="8">
        <v>1.99</v>
      </c>
      <c r="E643" s="4">
        <v>8</v>
      </c>
      <c r="F643" s="8">
        <v>1.23</v>
      </c>
      <c r="G643" s="4">
        <v>24</v>
      </c>
      <c r="H643" s="8">
        <v>2.52</v>
      </c>
      <c r="I643" s="4">
        <v>0</v>
      </c>
    </row>
    <row r="644" spans="1:9" x14ac:dyDescent="0.2">
      <c r="A644" s="2">
        <v>8</v>
      </c>
      <c r="B644" s="1" t="s">
        <v>165</v>
      </c>
      <c r="C644" s="4">
        <v>32</v>
      </c>
      <c r="D644" s="8">
        <v>1.99</v>
      </c>
      <c r="E644" s="4">
        <v>26</v>
      </c>
      <c r="F644" s="8">
        <v>4</v>
      </c>
      <c r="G644" s="4">
        <v>6</v>
      </c>
      <c r="H644" s="8">
        <v>0.63</v>
      </c>
      <c r="I644" s="4">
        <v>0</v>
      </c>
    </row>
    <row r="645" spans="1:9" x14ac:dyDescent="0.2">
      <c r="A645" s="2">
        <v>10</v>
      </c>
      <c r="B645" s="1" t="s">
        <v>156</v>
      </c>
      <c r="C645" s="4">
        <v>31</v>
      </c>
      <c r="D645" s="8">
        <v>1.93</v>
      </c>
      <c r="E645" s="4">
        <v>16</v>
      </c>
      <c r="F645" s="8">
        <v>2.46</v>
      </c>
      <c r="G645" s="4">
        <v>15</v>
      </c>
      <c r="H645" s="8">
        <v>1.57</v>
      </c>
      <c r="I645" s="4">
        <v>0</v>
      </c>
    </row>
    <row r="646" spans="1:9" x14ac:dyDescent="0.2">
      <c r="A646" s="2">
        <v>11</v>
      </c>
      <c r="B646" s="1" t="s">
        <v>149</v>
      </c>
      <c r="C646" s="4">
        <v>30</v>
      </c>
      <c r="D646" s="8">
        <v>1.87</v>
      </c>
      <c r="E646" s="4">
        <v>0</v>
      </c>
      <c r="F646" s="8">
        <v>0</v>
      </c>
      <c r="G646" s="4">
        <v>30</v>
      </c>
      <c r="H646" s="8">
        <v>3.15</v>
      </c>
      <c r="I646" s="4">
        <v>0</v>
      </c>
    </row>
    <row r="647" spans="1:9" x14ac:dyDescent="0.2">
      <c r="A647" s="2">
        <v>11</v>
      </c>
      <c r="B647" s="1" t="s">
        <v>171</v>
      </c>
      <c r="C647" s="4">
        <v>30</v>
      </c>
      <c r="D647" s="8">
        <v>1.87</v>
      </c>
      <c r="E647" s="4">
        <v>3</v>
      </c>
      <c r="F647" s="8">
        <v>0.46</v>
      </c>
      <c r="G647" s="4">
        <v>27</v>
      </c>
      <c r="H647" s="8">
        <v>2.83</v>
      </c>
      <c r="I647" s="4">
        <v>0</v>
      </c>
    </row>
    <row r="648" spans="1:9" x14ac:dyDescent="0.2">
      <c r="A648" s="2">
        <v>13</v>
      </c>
      <c r="B648" s="1" t="s">
        <v>148</v>
      </c>
      <c r="C648" s="4">
        <v>29</v>
      </c>
      <c r="D648" s="8">
        <v>1.8</v>
      </c>
      <c r="E648" s="4">
        <v>6</v>
      </c>
      <c r="F648" s="8">
        <v>0.92</v>
      </c>
      <c r="G648" s="4">
        <v>23</v>
      </c>
      <c r="H648" s="8">
        <v>2.41</v>
      </c>
      <c r="I648" s="4">
        <v>0</v>
      </c>
    </row>
    <row r="649" spans="1:9" x14ac:dyDescent="0.2">
      <c r="A649" s="2">
        <v>14</v>
      </c>
      <c r="B649" s="1" t="s">
        <v>196</v>
      </c>
      <c r="C649" s="4">
        <v>26</v>
      </c>
      <c r="D649" s="8">
        <v>1.62</v>
      </c>
      <c r="E649" s="4">
        <v>7</v>
      </c>
      <c r="F649" s="8">
        <v>1.08</v>
      </c>
      <c r="G649" s="4">
        <v>19</v>
      </c>
      <c r="H649" s="8">
        <v>1.99</v>
      </c>
      <c r="I649" s="4">
        <v>0</v>
      </c>
    </row>
    <row r="650" spans="1:9" x14ac:dyDescent="0.2">
      <c r="A650" s="2">
        <v>15</v>
      </c>
      <c r="B650" s="1" t="s">
        <v>150</v>
      </c>
      <c r="C650" s="4">
        <v>25</v>
      </c>
      <c r="D650" s="8">
        <v>1.56</v>
      </c>
      <c r="E650" s="4">
        <v>6</v>
      </c>
      <c r="F650" s="8">
        <v>0.92</v>
      </c>
      <c r="G650" s="4">
        <v>19</v>
      </c>
      <c r="H650" s="8">
        <v>1.99</v>
      </c>
      <c r="I650" s="4">
        <v>0</v>
      </c>
    </row>
    <row r="651" spans="1:9" x14ac:dyDescent="0.2">
      <c r="A651" s="2">
        <v>15</v>
      </c>
      <c r="B651" s="1" t="s">
        <v>160</v>
      </c>
      <c r="C651" s="4">
        <v>25</v>
      </c>
      <c r="D651" s="8">
        <v>1.56</v>
      </c>
      <c r="E651" s="4">
        <v>2</v>
      </c>
      <c r="F651" s="8">
        <v>0.31</v>
      </c>
      <c r="G651" s="4">
        <v>23</v>
      </c>
      <c r="H651" s="8">
        <v>2.41</v>
      </c>
      <c r="I651" s="4">
        <v>0</v>
      </c>
    </row>
    <row r="652" spans="1:9" x14ac:dyDescent="0.2">
      <c r="A652" s="2">
        <v>17</v>
      </c>
      <c r="B652" s="1" t="s">
        <v>152</v>
      </c>
      <c r="C652" s="4">
        <v>24</v>
      </c>
      <c r="D652" s="8">
        <v>1.49</v>
      </c>
      <c r="E652" s="4">
        <v>4</v>
      </c>
      <c r="F652" s="8">
        <v>0.62</v>
      </c>
      <c r="G652" s="4">
        <v>20</v>
      </c>
      <c r="H652" s="8">
        <v>2.1</v>
      </c>
      <c r="I652" s="4">
        <v>0</v>
      </c>
    </row>
    <row r="653" spans="1:9" x14ac:dyDescent="0.2">
      <c r="A653" s="2">
        <v>17</v>
      </c>
      <c r="B653" s="1" t="s">
        <v>167</v>
      </c>
      <c r="C653" s="4">
        <v>24</v>
      </c>
      <c r="D653" s="8">
        <v>1.49</v>
      </c>
      <c r="E653" s="4">
        <v>13</v>
      </c>
      <c r="F653" s="8">
        <v>2</v>
      </c>
      <c r="G653" s="4">
        <v>11</v>
      </c>
      <c r="H653" s="8">
        <v>1.1499999999999999</v>
      </c>
      <c r="I653" s="4">
        <v>0</v>
      </c>
    </row>
    <row r="654" spans="1:9" x14ac:dyDescent="0.2">
      <c r="A654" s="2">
        <v>19</v>
      </c>
      <c r="B654" s="1" t="s">
        <v>203</v>
      </c>
      <c r="C654" s="4">
        <v>23</v>
      </c>
      <c r="D654" s="8">
        <v>1.43</v>
      </c>
      <c r="E654" s="4">
        <v>3</v>
      </c>
      <c r="F654" s="8">
        <v>0.46</v>
      </c>
      <c r="G654" s="4">
        <v>20</v>
      </c>
      <c r="H654" s="8">
        <v>2.1</v>
      </c>
      <c r="I654" s="4">
        <v>0</v>
      </c>
    </row>
    <row r="655" spans="1:9" x14ac:dyDescent="0.2">
      <c r="A655" s="2">
        <v>19</v>
      </c>
      <c r="B655" s="1" t="s">
        <v>154</v>
      </c>
      <c r="C655" s="4">
        <v>23</v>
      </c>
      <c r="D655" s="8">
        <v>1.43</v>
      </c>
      <c r="E655" s="4">
        <v>17</v>
      </c>
      <c r="F655" s="8">
        <v>2.62</v>
      </c>
      <c r="G655" s="4">
        <v>6</v>
      </c>
      <c r="H655" s="8">
        <v>0.63</v>
      </c>
      <c r="I655" s="4">
        <v>0</v>
      </c>
    </row>
    <row r="656" spans="1:9" x14ac:dyDescent="0.2">
      <c r="A656" s="2">
        <v>19</v>
      </c>
      <c r="B656" s="1" t="s">
        <v>180</v>
      </c>
      <c r="C656" s="4">
        <v>23</v>
      </c>
      <c r="D656" s="8">
        <v>1.43</v>
      </c>
      <c r="E656" s="4">
        <v>13</v>
      </c>
      <c r="F656" s="8">
        <v>2</v>
      </c>
      <c r="G656" s="4">
        <v>10</v>
      </c>
      <c r="H656" s="8">
        <v>1.05</v>
      </c>
      <c r="I656" s="4">
        <v>0</v>
      </c>
    </row>
    <row r="657" spans="1:9" x14ac:dyDescent="0.2">
      <c r="A657" s="1"/>
      <c r="C657" s="4"/>
      <c r="D657" s="8"/>
      <c r="E657" s="4"/>
      <c r="F657" s="8"/>
      <c r="G657" s="4"/>
      <c r="H657" s="8"/>
      <c r="I657" s="4"/>
    </row>
    <row r="658" spans="1:9" x14ac:dyDescent="0.2">
      <c r="A658" s="1" t="s">
        <v>29</v>
      </c>
      <c r="C658" s="4"/>
      <c r="D658" s="8"/>
      <c r="E658" s="4"/>
      <c r="F658" s="8"/>
      <c r="G658" s="4"/>
      <c r="H658" s="8"/>
      <c r="I658" s="4"/>
    </row>
    <row r="659" spans="1:9" x14ac:dyDescent="0.2">
      <c r="A659" s="2">
        <v>1</v>
      </c>
      <c r="B659" s="1" t="s">
        <v>162</v>
      </c>
      <c r="C659" s="4">
        <v>138</v>
      </c>
      <c r="D659" s="8">
        <v>7.72</v>
      </c>
      <c r="E659" s="4">
        <v>133</v>
      </c>
      <c r="F659" s="8">
        <v>13.64</v>
      </c>
      <c r="G659" s="4">
        <v>5</v>
      </c>
      <c r="H659" s="8">
        <v>0.63</v>
      </c>
      <c r="I659" s="4">
        <v>0</v>
      </c>
    </row>
    <row r="660" spans="1:9" x14ac:dyDescent="0.2">
      <c r="A660" s="2">
        <v>2</v>
      </c>
      <c r="B660" s="1" t="s">
        <v>164</v>
      </c>
      <c r="C660" s="4">
        <v>105</v>
      </c>
      <c r="D660" s="8">
        <v>5.88</v>
      </c>
      <c r="E660" s="4">
        <v>98</v>
      </c>
      <c r="F660" s="8">
        <v>10.050000000000001</v>
      </c>
      <c r="G660" s="4">
        <v>7</v>
      </c>
      <c r="H660" s="8">
        <v>0.88</v>
      </c>
      <c r="I660" s="4">
        <v>0</v>
      </c>
    </row>
    <row r="661" spans="1:9" x14ac:dyDescent="0.2">
      <c r="A661" s="2">
        <v>3</v>
      </c>
      <c r="B661" s="1" t="s">
        <v>158</v>
      </c>
      <c r="C661" s="4">
        <v>92</v>
      </c>
      <c r="D661" s="8">
        <v>5.15</v>
      </c>
      <c r="E661" s="4">
        <v>39</v>
      </c>
      <c r="F661" s="8">
        <v>4</v>
      </c>
      <c r="G661" s="4">
        <v>53</v>
      </c>
      <c r="H661" s="8">
        <v>6.63</v>
      </c>
      <c r="I661" s="4">
        <v>0</v>
      </c>
    </row>
    <row r="662" spans="1:9" x14ac:dyDescent="0.2">
      <c r="A662" s="2">
        <v>4</v>
      </c>
      <c r="B662" s="1" t="s">
        <v>161</v>
      </c>
      <c r="C662" s="4">
        <v>79</v>
      </c>
      <c r="D662" s="8">
        <v>4.42</v>
      </c>
      <c r="E662" s="4">
        <v>65</v>
      </c>
      <c r="F662" s="8">
        <v>6.67</v>
      </c>
      <c r="G662" s="4">
        <v>14</v>
      </c>
      <c r="H662" s="8">
        <v>1.75</v>
      </c>
      <c r="I662" s="4">
        <v>0</v>
      </c>
    </row>
    <row r="663" spans="1:9" x14ac:dyDescent="0.2">
      <c r="A663" s="2">
        <v>5</v>
      </c>
      <c r="B663" s="1" t="s">
        <v>163</v>
      </c>
      <c r="C663" s="4">
        <v>76</v>
      </c>
      <c r="D663" s="8">
        <v>4.25</v>
      </c>
      <c r="E663" s="4">
        <v>73</v>
      </c>
      <c r="F663" s="8">
        <v>7.49</v>
      </c>
      <c r="G663" s="4">
        <v>3</v>
      </c>
      <c r="H663" s="8">
        <v>0.38</v>
      </c>
      <c r="I663" s="4">
        <v>0</v>
      </c>
    </row>
    <row r="664" spans="1:9" x14ac:dyDescent="0.2">
      <c r="A664" s="2">
        <v>6</v>
      </c>
      <c r="B664" s="1" t="s">
        <v>165</v>
      </c>
      <c r="C664" s="4">
        <v>48</v>
      </c>
      <c r="D664" s="8">
        <v>2.69</v>
      </c>
      <c r="E664" s="4">
        <v>37</v>
      </c>
      <c r="F664" s="8">
        <v>3.79</v>
      </c>
      <c r="G664" s="4">
        <v>11</v>
      </c>
      <c r="H664" s="8">
        <v>1.38</v>
      </c>
      <c r="I664" s="4">
        <v>0</v>
      </c>
    </row>
    <row r="665" spans="1:9" x14ac:dyDescent="0.2">
      <c r="A665" s="2">
        <v>7</v>
      </c>
      <c r="B665" s="1" t="s">
        <v>148</v>
      </c>
      <c r="C665" s="4">
        <v>44</v>
      </c>
      <c r="D665" s="8">
        <v>2.46</v>
      </c>
      <c r="E665" s="4">
        <v>7</v>
      </c>
      <c r="F665" s="8">
        <v>0.72</v>
      </c>
      <c r="G665" s="4">
        <v>37</v>
      </c>
      <c r="H665" s="8">
        <v>4.63</v>
      </c>
      <c r="I665" s="4">
        <v>0</v>
      </c>
    </row>
    <row r="666" spans="1:9" x14ac:dyDescent="0.2">
      <c r="A666" s="2">
        <v>8</v>
      </c>
      <c r="B666" s="1" t="s">
        <v>150</v>
      </c>
      <c r="C666" s="4">
        <v>38</v>
      </c>
      <c r="D666" s="8">
        <v>2.13</v>
      </c>
      <c r="E666" s="4">
        <v>24</v>
      </c>
      <c r="F666" s="8">
        <v>2.46</v>
      </c>
      <c r="G666" s="4">
        <v>14</v>
      </c>
      <c r="H666" s="8">
        <v>1.75</v>
      </c>
      <c r="I666" s="4">
        <v>0</v>
      </c>
    </row>
    <row r="667" spans="1:9" x14ac:dyDescent="0.2">
      <c r="A667" s="2">
        <v>8</v>
      </c>
      <c r="B667" s="1" t="s">
        <v>155</v>
      </c>
      <c r="C667" s="4">
        <v>38</v>
      </c>
      <c r="D667" s="8">
        <v>2.13</v>
      </c>
      <c r="E667" s="4">
        <v>17</v>
      </c>
      <c r="F667" s="8">
        <v>1.74</v>
      </c>
      <c r="G667" s="4">
        <v>21</v>
      </c>
      <c r="H667" s="8">
        <v>2.63</v>
      </c>
      <c r="I667" s="4">
        <v>0</v>
      </c>
    </row>
    <row r="668" spans="1:9" x14ac:dyDescent="0.2">
      <c r="A668" s="2">
        <v>10</v>
      </c>
      <c r="B668" s="1" t="s">
        <v>166</v>
      </c>
      <c r="C668" s="4">
        <v>37</v>
      </c>
      <c r="D668" s="8">
        <v>2.0699999999999998</v>
      </c>
      <c r="E668" s="4">
        <v>34</v>
      </c>
      <c r="F668" s="8">
        <v>3.49</v>
      </c>
      <c r="G668" s="4">
        <v>3</v>
      </c>
      <c r="H668" s="8">
        <v>0.38</v>
      </c>
      <c r="I668" s="4">
        <v>0</v>
      </c>
    </row>
    <row r="669" spans="1:9" x14ac:dyDescent="0.2">
      <c r="A669" s="2">
        <v>11</v>
      </c>
      <c r="B669" s="1" t="s">
        <v>152</v>
      </c>
      <c r="C669" s="4">
        <v>34</v>
      </c>
      <c r="D669" s="8">
        <v>1.9</v>
      </c>
      <c r="E669" s="4">
        <v>11</v>
      </c>
      <c r="F669" s="8">
        <v>1.1299999999999999</v>
      </c>
      <c r="G669" s="4">
        <v>23</v>
      </c>
      <c r="H669" s="8">
        <v>2.88</v>
      </c>
      <c r="I669" s="4">
        <v>0</v>
      </c>
    </row>
    <row r="670" spans="1:9" x14ac:dyDescent="0.2">
      <c r="A670" s="2">
        <v>12</v>
      </c>
      <c r="B670" s="1" t="s">
        <v>193</v>
      </c>
      <c r="C670" s="4">
        <v>32</v>
      </c>
      <c r="D670" s="8">
        <v>1.79</v>
      </c>
      <c r="E670" s="4">
        <v>32</v>
      </c>
      <c r="F670" s="8">
        <v>3.28</v>
      </c>
      <c r="G670" s="4">
        <v>0</v>
      </c>
      <c r="H670" s="8">
        <v>0</v>
      </c>
      <c r="I670" s="4">
        <v>0</v>
      </c>
    </row>
    <row r="671" spans="1:9" x14ac:dyDescent="0.2">
      <c r="A671" s="2">
        <v>12</v>
      </c>
      <c r="B671" s="1" t="s">
        <v>167</v>
      </c>
      <c r="C671" s="4">
        <v>32</v>
      </c>
      <c r="D671" s="8">
        <v>1.79</v>
      </c>
      <c r="E671" s="4">
        <v>23</v>
      </c>
      <c r="F671" s="8">
        <v>2.36</v>
      </c>
      <c r="G671" s="4">
        <v>9</v>
      </c>
      <c r="H671" s="8">
        <v>1.1299999999999999</v>
      </c>
      <c r="I671" s="4">
        <v>0</v>
      </c>
    </row>
    <row r="672" spans="1:9" x14ac:dyDescent="0.2">
      <c r="A672" s="2">
        <v>14</v>
      </c>
      <c r="B672" s="1" t="s">
        <v>153</v>
      </c>
      <c r="C672" s="4">
        <v>29</v>
      </c>
      <c r="D672" s="8">
        <v>1.62</v>
      </c>
      <c r="E672" s="4">
        <v>3</v>
      </c>
      <c r="F672" s="8">
        <v>0.31</v>
      </c>
      <c r="G672" s="4">
        <v>26</v>
      </c>
      <c r="H672" s="8">
        <v>3.25</v>
      </c>
      <c r="I672" s="4">
        <v>0</v>
      </c>
    </row>
    <row r="673" spans="1:9" x14ac:dyDescent="0.2">
      <c r="A673" s="2">
        <v>15</v>
      </c>
      <c r="B673" s="1" t="s">
        <v>156</v>
      </c>
      <c r="C673" s="4">
        <v>28</v>
      </c>
      <c r="D673" s="8">
        <v>1.57</v>
      </c>
      <c r="E673" s="4">
        <v>9</v>
      </c>
      <c r="F673" s="8">
        <v>0.92</v>
      </c>
      <c r="G673" s="4">
        <v>19</v>
      </c>
      <c r="H673" s="8">
        <v>2.38</v>
      </c>
      <c r="I673" s="4">
        <v>0</v>
      </c>
    </row>
    <row r="674" spans="1:9" x14ac:dyDescent="0.2">
      <c r="A674" s="2">
        <v>16</v>
      </c>
      <c r="B674" s="1" t="s">
        <v>195</v>
      </c>
      <c r="C674" s="4">
        <v>27</v>
      </c>
      <c r="D674" s="8">
        <v>1.51</v>
      </c>
      <c r="E674" s="4">
        <v>23</v>
      </c>
      <c r="F674" s="8">
        <v>2.36</v>
      </c>
      <c r="G674" s="4">
        <v>4</v>
      </c>
      <c r="H674" s="8">
        <v>0.5</v>
      </c>
      <c r="I674" s="4">
        <v>0</v>
      </c>
    </row>
    <row r="675" spans="1:9" x14ac:dyDescent="0.2">
      <c r="A675" s="2">
        <v>17</v>
      </c>
      <c r="B675" s="1" t="s">
        <v>192</v>
      </c>
      <c r="C675" s="4">
        <v>26</v>
      </c>
      <c r="D675" s="8">
        <v>1.45</v>
      </c>
      <c r="E675" s="4">
        <v>23</v>
      </c>
      <c r="F675" s="8">
        <v>2.36</v>
      </c>
      <c r="G675" s="4">
        <v>3</v>
      </c>
      <c r="H675" s="8">
        <v>0.38</v>
      </c>
      <c r="I675" s="4">
        <v>0</v>
      </c>
    </row>
    <row r="676" spans="1:9" x14ac:dyDescent="0.2">
      <c r="A676" s="2">
        <v>18</v>
      </c>
      <c r="B676" s="1" t="s">
        <v>154</v>
      </c>
      <c r="C676" s="4">
        <v>25</v>
      </c>
      <c r="D676" s="8">
        <v>1.4</v>
      </c>
      <c r="E676" s="4">
        <v>16</v>
      </c>
      <c r="F676" s="8">
        <v>1.64</v>
      </c>
      <c r="G676" s="4">
        <v>9</v>
      </c>
      <c r="H676" s="8">
        <v>1.1299999999999999</v>
      </c>
      <c r="I676" s="4">
        <v>0</v>
      </c>
    </row>
    <row r="677" spans="1:9" x14ac:dyDescent="0.2">
      <c r="A677" s="2">
        <v>19</v>
      </c>
      <c r="B677" s="1" t="s">
        <v>160</v>
      </c>
      <c r="C677" s="4">
        <v>24</v>
      </c>
      <c r="D677" s="8">
        <v>1.34</v>
      </c>
      <c r="E677" s="4">
        <v>5</v>
      </c>
      <c r="F677" s="8">
        <v>0.51</v>
      </c>
      <c r="G677" s="4">
        <v>19</v>
      </c>
      <c r="H677" s="8">
        <v>2.38</v>
      </c>
      <c r="I677" s="4">
        <v>0</v>
      </c>
    </row>
    <row r="678" spans="1:9" x14ac:dyDescent="0.2">
      <c r="A678" s="2">
        <v>20</v>
      </c>
      <c r="B678" s="1" t="s">
        <v>169</v>
      </c>
      <c r="C678" s="4">
        <v>23</v>
      </c>
      <c r="D678" s="8">
        <v>1.29</v>
      </c>
      <c r="E678" s="4">
        <v>17</v>
      </c>
      <c r="F678" s="8">
        <v>1.74</v>
      </c>
      <c r="G678" s="4">
        <v>6</v>
      </c>
      <c r="H678" s="8">
        <v>0.75</v>
      </c>
      <c r="I678" s="4">
        <v>0</v>
      </c>
    </row>
    <row r="679" spans="1:9" x14ac:dyDescent="0.2">
      <c r="A679" s="1"/>
      <c r="C679" s="4"/>
      <c r="D679" s="8"/>
      <c r="E679" s="4"/>
      <c r="F679" s="8"/>
      <c r="G679" s="4"/>
      <c r="H679" s="8"/>
      <c r="I679" s="4"/>
    </row>
    <row r="680" spans="1:9" x14ac:dyDescent="0.2">
      <c r="A680" s="1" t="s">
        <v>30</v>
      </c>
      <c r="C680" s="4"/>
      <c r="D680" s="8"/>
      <c r="E680" s="4"/>
      <c r="F680" s="8"/>
      <c r="G680" s="4"/>
      <c r="H680" s="8"/>
      <c r="I680" s="4"/>
    </row>
    <row r="681" spans="1:9" x14ac:dyDescent="0.2">
      <c r="A681" s="2">
        <v>1</v>
      </c>
      <c r="B681" s="1" t="s">
        <v>163</v>
      </c>
      <c r="C681" s="4">
        <v>61</v>
      </c>
      <c r="D681" s="8">
        <v>5.85</v>
      </c>
      <c r="E681" s="4">
        <v>59</v>
      </c>
      <c r="F681" s="8">
        <v>10.07</v>
      </c>
      <c r="G681" s="4">
        <v>2</v>
      </c>
      <c r="H681" s="8">
        <v>0.44</v>
      </c>
      <c r="I681" s="4">
        <v>0</v>
      </c>
    </row>
    <row r="682" spans="1:9" x14ac:dyDescent="0.2">
      <c r="A682" s="2">
        <v>2</v>
      </c>
      <c r="B682" s="1" t="s">
        <v>164</v>
      </c>
      <c r="C682" s="4">
        <v>51</v>
      </c>
      <c r="D682" s="8">
        <v>4.8899999999999997</v>
      </c>
      <c r="E682" s="4">
        <v>47</v>
      </c>
      <c r="F682" s="8">
        <v>8.02</v>
      </c>
      <c r="G682" s="4">
        <v>4</v>
      </c>
      <c r="H682" s="8">
        <v>0.89</v>
      </c>
      <c r="I682" s="4">
        <v>0</v>
      </c>
    </row>
    <row r="683" spans="1:9" x14ac:dyDescent="0.2">
      <c r="A683" s="2">
        <v>3</v>
      </c>
      <c r="B683" s="1" t="s">
        <v>150</v>
      </c>
      <c r="C683" s="4">
        <v>41</v>
      </c>
      <c r="D683" s="8">
        <v>3.93</v>
      </c>
      <c r="E683" s="4">
        <v>30</v>
      </c>
      <c r="F683" s="8">
        <v>5.12</v>
      </c>
      <c r="G683" s="4">
        <v>11</v>
      </c>
      <c r="H683" s="8">
        <v>2.44</v>
      </c>
      <c r="I683" s="4">
        <v>0</v>
      </c>
    </row>
    <row r="684" spans="1:9" x14ac:dyDescent="0.2">
      <c r="A684" s="2">
        <v>4</v>
      </c>
      <c r="B684" s="1" t="s">
        <v>161</v>
      </c>
      <c r="C684" s="4">
        <v>34</v>
      </c>
      <c r="D684" s="8">
        <v>3.26</v>
      </c>
      <c r="E684" s="4">
        <v>32</v>
      </c>
      <c r="F684" s="8">
        <v>5.46</v>
      </c>
      <c r="G684" s="4">
        <v>2</v>
      </c>
      <c r="H684" s="8">
        <v>0.44</v>
      </c>
      <c r="I684" s="4">
        <v>0</v>
      </c>
    </row>
    <row r="685" spans="1:9" x14ac:dyDescent="0.2">
      <c r="A685" s="2">
        <v>5</v>
      </c>
      <c r="B685" s="1" t="s">
        <v>152</v>
      </c>
      <c r="C685" s="4">
        <v>25</v>
      </c>
      <c r="D685" s="8">
        <v>2.4</v>
      </c>
      <c r="E685" s="4">
        <v>7</v>
      </c>
      <c r="F685" s="8">
        <v>1.19</v>
      </c>
      <c r="G685" s="4">
        <v>18</v>
      </c>
      <c r="H685" s="8">
        <v>3.99</v>
      </c>
      <c r="I685" s="4">
        <v>0</v>
      </c>
    </row>
    <row r="686" spans="1:9" x14ac:dyDescent="0.2">
      <c r="A686" s="2">
        <v>6</v>
      </c>
      <c r="B686" s="1" t="s">
        <v>154</v>
      </c>
      <c r="C686" s="4">
        <v>24</v>
      </c>
      <c r="D686" s="8">
        <v>2.2999999999999998</v>
      </c>
      <c r="E686" s="4">
        <v>15</v>
      </c>
      <c r="F686" s="8">
        <v>2.56</v>
      </c>
      <c r="G686" s="4">
        <v>9</v>
      </c>
      <c r="H686" s="8">
        <v>2</v>
      </c>
      <c r="I686" s="4">
        <v>0</v>
      </c>
    </row>
    <row r="687" spans="1:9" x14ac:dyDescent="0.2">
      <c r="A687" s="2">
        <v>6</v>
      </c>
      <c r="B687" s="1" t="s">
        <v>162</v>
      </c>
      <c r="C687" s="4">
        <v>24</v>
      </c>
      <c r="D687" s="8">
        <v>2.2999999999999998</v>
      </c>
      <c r="E687" s="4">
        <v>24</v>
      </c>
      <c r="F687" s="8">
        <v>4.0999999999999996</v>
      </c>
      <c r="G687" s="4">
        <v>0</v>
      </c>
      <c r="H687" s="8">
        <v>0</v>
      </c>
      <c r="I687" s="4">
        <v>0</v>
      </c>
    </row>
    <row r="688" spans="1:9" x14ac:dyDescent="0.2">
      <c r="A688" s="2">
        <v>8</v>
      </c>
      <c r="B688" s="1" t="s">
        <v>156</v>
      </c>
      <c r="C688" s="4">
        <v>23</v>
      </c>
      <c r="D688" s="8">
        <v>2.21</v>
      </c>
      <c r="E688" s="4">
        <v>15</v>
      </c>
      <c r="F688" s="8">
        <v>2.56</v>
      </c>
      <c r="G688" s="4">
        <v>8</v>
      </c>
      <c r="H688" s="8">
        <v>1.77</v>
      </c>
      <c r="I688" s="4">
        <v>0</v>
      </c>
    </row>
    <row r="689" spans="1:9" x14ac:dyDescent="0.2">
      <c r="A689" s="2">
        <v>8</v>
      </c>
      <c r="B689" s="1" t="s">
        <v>167</v>
      </c>
      <c r="C689" s="4">
        <v>23</v>
      </c>
      <c r="D689" s="8">
        <v>2.21</v>
      </c>
      <c r="E689" s="4">
        <v>18</v>
      </c>
      <c r="F689" s="8">
        <v>3.07</v>
      </c>
      <c r="G689" s="4">
        <v>5</v>
      </c>
      <c r="H689" s="8">
        <v>1.1100000000000001</v>
      </c>
      <c r="I689" s="4">
        <v>0</v>
      </c>
    </row>
    <row r="690" spans="1:9" x14ac:dyDescent="0.2">
      <c r="A690" s="2">
        <v>10</v>
      </c>
      <c r="B690" s="1" t="s">
        <v>148</v>
      </c>
      <c r="C690" s="4">
        <v>21</v>
      </c>
      <c r="D690" s="8">
        <v>2.02</v>
      </c>
      <c r="E690" s="4">
        <v>0</v>
      </c>
      <c r="F690" s="8">
        <v>0</v>
      </c>
      <c r="G690" s="4">
        <v>21</v>
      </c>
      <c r="H690" s="8">
        <v>4.66</v>
      </c>
      <c r="I690" s="4">
        <v>0</v>
      </c>
    </row>
    <row r="691" spans="1:9" x14ac:dyDescent="0.2">
      <c r="A691" s="2">
        <v>11</v>
      </c>
      <c r="B691" s="1" t="s">
        <v>192</v>
      </c>
      <c r="C691" s="4">
        <v>19</v>
      </c>
      <c r="D691" s="8">
        <v>1.82</v>
      </c>
      <c r="E691" s="4">
        <v>15</v>
      </c>
      <c r="F691" s="8">
        <v>2.56</v>
      </c>
      <c r="G691" s="4">
        <v>4</v>
      </c>
      <c r="H691" s="8">
        <v>0.89</v>
      </c>
      <c r="I691" s="4">
        <v>0</v>
      </c>
    </row>
    <row r="692" spans="1:9" x14ac:dyDescent="0.2">
      <c r="A692" s="2">
        <v>12</v>
      </c>
      <c r="B692" s="1" t="s">
        <v>197</v>
      </c>
      <c r="C692" s="4">
        <v>18</v>
      </c>
      <c r="D692" s="8">
        <v>1.73</v>
      </c>
      <c r="E692" s="4">
        <v>11</v>
      </c>
      <c r="F692" s="8">
        <v>1.88</v>
      </c>
      <c r="G692" s="4">
        <v>7</v>
      </c>
      <c r="H692" s="8">
        <v>1.55</v>
      </c>
      <c r="I692" s="4">
        <v>0</v>
      </c>
    </row>
    <row r="693" spans="1:9" x14ac:dyDescent="0.2">
      <c r="A693" s="2">
        <v>12</v>
      </c>
      <c r="B693" s="1" t="s">
        <v>153</v>
      </c>
      <c r="C693" s="4">
        <v>18</v>
      </c>
      <c r="D693" s="8">
        <v>1.73</v>
      </c>
      <c r="E693" s="4">
        <v>4</v>
      </c>
      <c r="F693" s="8">
        <v>0.68</v>
      </c>
      <c r="G693" s="4">
        <v>14</v>
      </c>
      <c r="H693" s="8">
        <v>3.1</v>
      </c>
      <c r="I693" s="4">
        <v>0</v>
      </c>
    </row>
    <row r="694" spans="1:9" x14ac:dyDescent="0.2">
      <c r="A694" s="2">
        <v>14</v>
      </c>
      <c r="B694" s="1" t="s">
        <v>166</v>
      </c>
      <c r="C694" s="4">
        <v>17</v>
      </c>
      <c r="D694" s="8">
        <v>1.63</v>
      </c>
      <c r="E694" s="4">
        <v>17</v>
      </c>
      <c r="F694" s="8">
        <v>2.9</v>
      </c>
      <c r="G694" s="4">
        <v>0</v>
      </c>
      <c r="H694" s="8">
        <v>0</v>
      </c>
      <c r="I694" s="4">
        <v>0</v>
      </c>
    </row>
    <row r="695" spans="1:9" x14ac:dyDescent="0.2">
      <c r="A695" s="2">
        <v>15</v>
      </c>
      <c r="B695" s="1" t="s">
        <v>191</v>
      </c>
      <c r="C695" s="4">
        <v>15</v>
      </c>
      <c r="D695" s="8">
        <v>1.44</v>
      </c>
      <c r="E695" s="4">
        <v>3</v>
      </c>
      <c r="F695" s="8">
        <v>0.51</v>
      </c>
      <c r="G695" s="4">
        <v>12</v>
      </c>
      <c r="H695" s="8">
        <v>2.66</v>
      </c>
      <c r="I695" s="4">
        <v>0</v>
      </c>
    </row>
    <row r="696" spans="1:9" x14ac:dyDescent="0.2">
      <c r="A696" s="2">
        <v>15</v>
      </c>
      <c r="B696" s="1" t="s">
        <v>158</v>
      </c>
      <c r="C696" s="4">
        <v>15</v>
      </c>
      <c r="D696" s="8">
        <v>1.44</v>
      </c>
      <c r="E696" s="4">
        <v>9</v>
      </c>
      <c r="F696" s="8">
        <v>1.54</v>
      </c>
      <c r="G696" s="4">
        <v>6</v>
      </c>
      <c r="H696" s="8">
        <v>1.33</v>
      </c>
      <c r="I696" s="4">
        <v>0</v>
      </c>
    </row>
    <row r="697" spans="1:9" x14ac:dyDescent="0.2">
      <c r="A697" s="2">
        <v>15</v>
      </c>
      <c r="B697" s="1" t="s">
        <v>169</v>
      </c>
      <c r="C697" s="4">
        <v>15</v>
      </c>
      <c r="D697" s="8">
        <v>1.44</v>
      </c>
      <c r="E697" s="4">
        <v>12</v>
      </c>
      <c r="F697" s="8">
        <v>2.0499999999999998</v>
      </c>
      <c r="G697" s="4">
        <v>3</v>
      </c>
      <c r="H697" s="8">
        <v>0.67</v>
      </c>
      <c r="I697" s="4">
        <v>0</v>
      </c>
    </row>
    <row r="698" spans="1:9" x14ac:dyDescent="0.2">
      <c r="A698" s="2">
        <v>18</v>
      </c>
      <c r="B698" s="1" t="s">
        <v>168</v>
      </c>
      <c r="C698" s="4">
        <v>14</v>
      </c>
      <c r="D698" s="8">
        <v>1.34</v>
      </c>
      <c r="E698" s="4">
        <v>6</v>
      </c>
      <c r="F698" s="8">
        <v>1.02</v>
      </c>
      <c r="G698" s="4">
        <v>8</v>
      </c>
      <c r="H698" s="8">
        <v>1.77</v>
      </c>
      <c r="I698" s="4">
        <v>0</v>
      </c>
    </row>
    <row r="699" spans="1:9" x14ac:dyDescent="0.2">
      <c r="A699" s="2">
        <v>19</v>
      </c>
      <c r="B699" s="1" t="s">
        <v>204</v>
      </c>
      <c r="C699" s="4">
        <v>13</v>
      </c>
      <c r="D699" s="8">
        <v>1.25</v>
      </c>
      <c r="E699" s="4">
        <v>5</v>
      </c>
      <c r="F699" s="8">
        <v>0.85</v>
      </c>
      <c r="G699" s="4">
        <v>8</v>
      </c>
      <c r="H699" s="8">
        <v>1.77</v>
      </c>
      <c r="I699" s="4">
        <v>0</v>
      </c>
    </row>
    <row r="700" spans="1:9" x14ac:dyDescent="0.2">
      <c r="A700" s="2">
        <v>20</v>
      </c>
      <c r="B700" s="1" t="s">
        <v>187</v>
      </c>
      <c r="C700" s="4">
        <v>12</v>
      </c>
      <c r="D700" s="8">
        <v>1.1499999999999999</v>
      </c>
      <c r="E700" s="4">
        <v>7</v>
      </c>
      <c r="F700" s="8">
        <v>1.19</v>
      </c>
      <c r="G700" s="4">
        <v>5</v>
      </c>
      <c r="H700" s="8">
        <v>1.1100000000000001</v>
      </c>
      <c r="I700" s="4">
        <v>0</v>
      </c>
    </row>
    <row r="701" spans="1:9" x14ac:dyDescent="0.2">
      <c r="A701" s="2">
        <v>20</v>
      </c>
      <c r="B701" s="1" t="s">
        <v>190</v>
      </c>
      <c r="C701" s="4">
        <v>12</v>
      </c>
      <c r="D701" s="8">
        <v>1.1499999999999999</v>
      </c>
      <c r="E701" s="4">
        <v>8</v>
      </c>
      <c r="F701" s="8">
        <v>1.37</v>
      </c>
      <c r="G701" s="4">
        <v>4</v>
      </c>
      <c r="H701" s="8">
        <v>0.89</v>
      </c>
      <c r="I701" s="4">
        <v>0</v>
      </c>
    </row>
    <row r="702" spans="1:9" x14ac:dyDescent="0.2">
      <c r="A702" s="2">
        <v>20</v>
      </c>
      <c r="B702" s="1" t="s">
        <v>194</v>
      </c>
      <c r="C702" s="4">
        <v>12</v>
      </c>
      <c r="D702" s="8">
        <v>1.1499999999999999</v>
      </c>
      <c r="E702" s="4">
        <v>9</v>
      </c>
      <c r="F702" s="8">
        <v>1.54</v>
      </c>
      <c r="G702" s="4">
        <v>3</v>
      </c>
      <c r="H702" s="8">
        <v>0.67</v>
      </c>
      <c r="I702" s="4">
        <v>0</v>
      </c>
    </row>
    <row r="703" spans="1:9" x14ac:dyDescent="0.2">
      <c r="A703" s="2">
        <v>20</v>
      </c>
      <c r="B703" s="1" t="s">
        <v>200</v>
      </c>
      <c r="C703" s="4">
        <v>12</v>
      </c>
      <c r="D703" s="8">
        <v>1.1499999999999999</v>
      </c>
      <c r="E703" s="4">
        <v>11</v>
      </c>
      <c r="F703" s="8">
        <v>1.88</v>
      </c>
      <c r="G703" s="4">
        <v>1</v>
      </c>
      <c r="H703" s="8">
        <v>0.22</v>
      </c>
      <c r="I703" s="4">
        <v>0</v>
      </c>
    </row>
    <row r="704" spans="1:9" x14ac:dyDescent="0.2">
      <c r="A704" s="1"/>
      <c r="C704" s="4"/>
      <c r="D704" s="8"/>
      <c r="E704" s="4"/>
      <c r="F704" s="8"/>
      <c r="G704" s="4"/>
      <c r="H704" s="8"/>
      <c r="I704" s="4"/>
    </row>
    <row r="705" spans="1:9" x14ac:dyDescent="0.2">
      <c r="A705" s="1" t="s">
        <v>31</v>
      </c>
      <c r="C705" s="4"/>
      <c r="D705" s="8"/>
      <c r="E705" s="4"/>
      <c r="F705" s="8"/>
      <c r="G705" s="4"/>
      <c r="H705" s="8"/>
      <c r="I705" s="4"/>
    </row>
    <row r="706" spans="1:9" x14ac:dyDescent="0.2">
      <c r="A706" s="2">
        <v>1</v>
      </c>
      <c r="B706" s="1" t="s">
        <v>158</v>
      </c>
      <c r="C706" s="4">
        <v>156</v>
      </c>
      <c r="D706" s="8">
        <v>7.54</v>
      </c>
      <c r="E706" s="4">
        <v>17</v>
      </c>
      <c r="F706" s="8">
        <v>3.23</v>
      </c>
      <c r="G706" s="4">
        <v>139</v>
      </c>
      <c r="H706" s="8">
        <v>9.0299999999999994</v>
      </c>
      <c r="I706" s="4">
        <v>0</v>
      </c>
    </row>
    <row r="707" spans="1:9" x14ac:dyDescent="0.2">
      <c r="A707" s="2">
        <v>2</v>
      </c>
      <c r="B707" s="1" t="s">
        <v>164</v>
      </c>
      <c r="C707" s="4">
        <v>72</v>
      </c>
      <c r="D707" s="8">
        <v>3.48</v>
      </c>
      <c r="E707" s="4">
        <v>53</v>
      </c>
      <c r="F707" s="8">
        <v>10.08</v>
      </c>
      <c r="G707" s="4">
        <v>19</v>
      </c>
      <c r="H707" s="8">
        <v>1.23</v>
      </c>
      <c r="I707" s="4">
        <v>0</v>
      </c>
    </row>
    <row r="708" spans="1:9" x14ac:dyDescent="0.2">
      <c r="A708" s="2">
        <v>3</v>
      </c>
      <c r="B708" s="1" t="s">
        <v>159</v>
      </c>
      <c r="C708" s="4">
        <v>56</v>
      </c>
      <c r="D708" s="8">
        <v>2.71</v>
      </c>
      <c r="E708" s="4">
        <v>4</v>
      </c>
      <c r="F708" s="8">
        <v>0.76</v>
      </c>
      <c r="G708" s="4">
        <v>52</v>
      </c>
      <c r="H708" s="8">
        <v>3.38</v>
      </c>
      <c r="I708" s="4">
        <v>0</v>
      </c>
    </row>
    <row r="709" spans="1:9" x14ac:dyDescent="0.2">
      <c r="A709" s="2">
        <v>4</v>
      </c>
      <c r="B709" s="1" t="s">
        <v>165</v>
      </c>
      <c r="C709" s="4">
        <v>55</v>
      </c>
      <c r="D709" s="8">
        <v>2.66</v>
      </c>
      <c r="E709" s="4">
        <v>27</v>
      </c>
      <c r="F709" s="8">
        <v>5.13</v>
      </c>
      <c r="G709" s="4">
        <v>27</v>
      </c>
      <c r="H709" s="8">
        <v>1.75</v>
      </c>
      <c r="I709" s="4">
        <v>1</v>
      </c>
    </row>
    <row r="710" spans="1:9" x14ac:dyDescent="0.2">
      <c r="A710" s="2">
        <v>5</v>
      </c>
      <c r="B710" s="1" t="s">
        <v>162</v>
      </c>
      <c r="C710" s="4">
        <v>51</v>
      </c>
      <c r="D710" s="8">
        <v>2.46</v>
      </c>
      <c r="E710" s="4">
        <v>44</v>
      </c>
      <c r="F710" s="8">
        <v>8.3699999999999992</v>
      </c>
      <c r="G710" s="4">
        <v>7</v>
      </c>
      <c r="H710" s="8">
        <v>0.45</v>
      </c>
      <c r="I710" s="4">
        <v>0</v>
      </c>
    </row>
    <row r="711" spans="1:9" x14ac:dyDescent="0.2">
      <c r="A711" s="2">
        <v>6</v>
      </c>
      <c r="B711" s="1" t="s">
        <v>163</v>
      </c>
      <c r="C711" s="4">
        <v>50</v>
      </c>
      <c r="D711" s="8">
        <v>2.42</v>
      </c>
      <c r="E711" s="4">
        <v>41</v>
      </c>
      <c r="F711" s="8">
        <v>7.79</v>
      </c>
      <c r="G711" s="4">
        <v>9</v>
      </c>
      <c r="H711" s="8">
        <v>0.57999999999999996</v>
      </c>
      <c r="I711" s="4">
        <v>0</v>
      </c>
    </row>
    <row r="712" spans="1:9" x14ac:dyDescent="0.2">
      <c r="A712" s="2">
        <v>7</v>
      </c>
      <c r="B712" s="1" t="s">
        <v>161</v>
      </c>
      <c r="C712" s="4">
        <v>48</v>
      </c>
      <c r="D712" s="8">
        <v>2.3199999999999998</v>
      </c>
      <c r="E712" s="4">
        <v>28</v>
      </c>
      <c r="F712" s="8">
        <v>5.32</v>
      </c>
      <c r="G712" s="4">
        <v>20</v>
      </c>
      <c r="H712" s="8">
        <v>1.3</v>
      </c>
      <c r="I712" s="4">
        <v>0</v>
      </c>
    </row>
    <row r="713" spans="1:9" x14ac:dyDescent="0.2">
      <c r="A713" s="2">
        <v>8</v>
      </c>
      <c r="B713" s="1" t="s">
        <v>182</v>
      </c>
      <c r="C713" s="4">
        <v>47</v>
      </c>
      <c r="D713" s="8">
        <v>2.27</v>
      </c>
      <c r="E713" s="4">
        <v>0</v>
      </c>
      <c r="F713" s="8">
        <v>0</v>
      </c>
      <c r="G713" s="4">
        <v>47</v>
      </c>
      <c r="H713" s="8">
        <v>3.05</v>
      </c>
      <c r="I713" s="4">
        <v>0</v>
      </c>
    </row>
    <row r="714" spans="1:9" x14ac:dyDescent="0.2">
      <c r="A714" s="2">
        <v>8</v>
      </c>
      <c r="B714" s="1" t="s">
        <v>205</v>
      </c>
      <c r="C714" s="4">
        <v>47</v>
      </c>
      <c r="D714" s="8">
        <v>2.27</v>
      </c>
      <c r="E714" s="4">
        <v>0</v>
      </c>
      <c r="F714" s="8">
        <v>0</v>
      </c>
      <c r="G714" s="4">
        <v>47</v>
      </c>
      <c r="H714" s="8">
        <v>3.05</v>
      </c>
      <c r="I714" s="4">
        <v>0</v>
      </c>
    </row>
    <row r="715" spans="1:9" x14ac:dyDescent="0.2">
      <c r="A715" s="2">
        <v>10</v>
      </c>
      <c r="B715" s="1" t="s">
        <v>166</v>
      </c>
      <c r="C715" s="4">
        <v>46</v>
      </c>
      <c r="D715" s="8">
        <v>2.2200000000000002</v>
      </c>
      <c r="E715" s="4">
        <v>38</v>
      </c>
      <c r="F715" s="8">
        <v>7.22</v>
      </c>
      <c r="G715" s="4">
        <v>8</v>
      </c>
      <c r="H715" s="8">
        <v>0.52</v>
      </c>
      <c r="I715" s="4">
        <v>0</v>
      </c>
    </row>
    <row r="716" spans="1:9" x14ac:dyDescent="0.2">
      <c r="A716" s="2">
        <v>11</v>
      </c>
      <c r="B716" s="1" t="s">
        <v>178</v>
      </c>
      <c r="C716" s="4">
        <v>43</v>
      </c>
      <c r="D716" s="8">
        <v>2.08</v>
      </c>
      <c r="E716" s="4">
        <v>1</v>
      </c>
      <c r="F716" s="8">
        <v>0.19</v>
      </c>
      <c r="G716" s="4">
        <v>42</v>
      </c>
      <c r="H716" s="8">
        <v>2.73</v>
      </c>
      <c r="I716" s="4">
        <v>0</v>
      </c>
    </row>
    <row r="717" spans="1:9" x14ac:dyDescent="0.2">
      <c r="A717" s="2">
        <v>12</v>
      </c>
      <c r="B717" s="1" t="s">
        <v>171</v>
      </c>
      <c r="C717" s="4">
        <v>37</v>
      </c>
      <c r="D717" s="8">
        <v>1.79</v>
      </c>
      <c r="E717" s="4">
        <v>1</v>
      </c>
      <c r="F717" s="8">
        <v>0.19</v>
      </c>
      <c r="G717" s="4">
        <v>36</v>
      </c>
      <c r="H717" s="8">
        <v>2.34</v>
      </c>
      <c r="I717" s="4">
        <v>0</v>
      </c>
    </row>
    <row r="718" spans="1:9" x14ac:dyDescent="0.2">
      <c r="A718" s="2">
        <v>13</v>
      </c>
      <c r="B718" s="1" t="s">
        <v>156</v>
      </c>
      <c r="C718" s="4">
        <v>32</v>
      </c>
      <c r="D718" s="8">
        <v>1.55</v>
      </c>
      <c r="E718" s="4">
        <v>15</v>
      </c>
      <c r="F718" s="8">
        <v>2.85</v>
      </c>
      <c r="G718" s="4">
        <v>17</v>
      </c>
      <c r="H718" s="8">
        <v>1.1000000000000001</v>
      </c>
      <c r="I718" s="4">
        <v>0</v>
      </c>
    </row>
    <row r="719" spans="1:9" x14ac:dyDescent="0.2">
      <c r="A719" s="2">
        <v>13</v>
      </c>
      <c r="B719" s="1" t="s">
        <v>170</v>
      </c>
      <c r="C719" s="4">
        <v>32</v>
      </c>
      <c r="D719" s="8">
        <v>1.55</v>
      </c>
      <c r="E719" s="4">
        <v>28</v>
      </c>
      <c r="F719" s="8">
        <v>5.32</v>
      </c>
      <c r="G719" s="4">
        <v>4</v>
      </c>
      <c r="H719" s="8">
        <v>0.26</v>
      </c>
      <c r="I719" s="4">
        <v>0</v>
      </c>
    </row>
    <row r="720" spans="1:9" x14ac:dyDescent="0.2">
      <c r="A720" s="2">
        <v>13</v>
      </c>
      <c r="B720" s="1" t="s">
        <v>186</v>
      </c>
      <c r="C720" s="4">
        <v>32</v>
      </c>
      <c r="D720" s="8">
        <v>1.55</v>
      </c>
      <c r="E720" s="4">
        <v>0</v>
      </c>
      <c r="F720" s="8">
        <v>0</v>
      </c>
      <c r="G720" s="4">
        <v>32</v>
      </c>
      <c r="H720" s="8">
        <v>2.08</v>
      </c>
      <c r="I720" s="4">
        <v>0</v>
      </c>
    </row>
    <row r="721" spans="1:9" x14ac:dyDescent="0.2">
      <c r="A721" s="2">
        <v>16</v>
      </c>
      <c r="B721" s="1" t="s">
        <v>173</v>
      </c>
      <c r="C721" s="4">
        <v>31</v>
      </c>
      <c r="D721" s="8">
        <v>1.5</v>
      </c>
      <c r="E721" s="4">
        <v>16</v>
      </c>
      <c r="F721" s="8">
        <v>3.04</v>
      </c>
      <c r="G721" s="4">
        <v>15</v>
      </c>
      <c r="H721" s="8">
        <v>0.97</v>
      </c>
      <c r="I721" s="4">
        <v>0</v>
      </c>
    </row>
    <row r="722" spans="1:9" x14ac:dyDescent="0.2">
      <c r="A722" s="2">
        <v>17</v>
      </c>
      <c r="B722" s="1" t="s">
        <v>184</v>
      </c>
      <c r="C722" s="4">
        <v>29</v>
      </c>
      <c r="D722" s="8">
        <v>1.4</v>
      </c>
      <c r="E722" s="4">
        <v>0</v>
      </c>
      <c r="F722" s="8">
        <v>0</v>
      </c>
      <c r="G722" s="4">
        <v>29</v>
      </c>
      <c r="H722" s="8">
        <v>1.88</v>
      </c>
      <c r="I722" s="4">
        <v>0</v>
      </c>
    </row>
    <row r="723" spans="1:9" x14ac:dyDescent="0.2">
      <c r="A723" s="2">
        <v>18</v>
      </c>
      <c r="B723" s="1" t="s">
        <v>148</v>
      </c>
      <c r="C723" s="4">
        <v>27</v>
      </c>
      <c r="D723" s="8">
        <v>1.3</v>
      </c>
      <c r="E723" s="4">
        <v>1</v>
      </c>
      <c r="F723" s="8">
        <v>0.19</v>
      </c>
      <c r="G723" s="4">
        <v>26</v>
      </c>
      <c r="H723" s="8">
        <v>1.69</v>
      </c>
      <c r="I723" s="4">
        <v>0</v>
      </c>
    </row>
    <row r="724" spans="1:9" x14ac:dyDescent="0.2">
      <c r="A724" s="2">
        <v>19</v>
      </c>
      <c r="B724" s="1" t="s">
        <v>154</v>
      </c>
      <c r="C724" s="4">
        <v>25</v>
      </c>
      <c r="D724" s="8">
        <v>1.21</v>
      </c>
      <c r="E724" s="4">
        <v>6</v>
      </c>
      <c r="F724" s="8">
        <v>1.1399999999999999</v>
      </c>
      <c r="G724" s="4">
        <v>19</v>
      </c>
      <c r="H724" s="8">
        <v>1.23</v>
      </c>
      <c r="I724" s="4">
        <v>0</v>
      </c>
    </row>
    <row r="725" spans="1:9" x14ac:dyDescent="0.2">
      <c r="A725" s="2">
        <v>20</v>
      </c>
      <c r="B725" s="1" t="s">
        <v>176</v>
      </c>
      <c r="C725" s="4">
        <v>23</v>
      </c>
      <c r="D725" s="8">
        <v>1.1100000000000001</v>
      </c>
      <c r="E725" s="4">
        <v>1</v>
      </c>
      <c r="F725" s="8">
        <v>0.19</v>
      </c>
      <c r="G725" s="4">
        <v>22</v>
      </c>
      <c r="H725" s="8">
        <v>1.43</v>
      </c>
      <c r="I725" s="4">
        <v>0</v>
      </c>
    </row>
    <row r="726" spans="1:9" x14ac:dyDescent="0.2">
      <c r="A726" s="2">
        <v>20</v>
      </c>
      <c r="B726" s="1" t="s">
        <v>168</v>
      </c>
      <c r="C726" s="4">
        <v>23</v>
      </c>
      <c r="D726" s="8">
        <v>1.1100000000000001</v>
      </c>
      <c r="E726" s="4">
        <v>4</v>
      </c>
      <c r="F726" s="8">
        <v>0.76</v>
      </c>
      <c r="G726" s="4">
        <v>19</v>
      </c>
      <c r="H726" s="8">
        <v>1.23</v>
      </c>
      <c r="I726" s="4">
        <v>0</v>
      </c>
    </row>
    <row r="727" spans="1:9" x14ac:dyDescent="0.2">
      <c r="A727" s="2">
        <v>20</v>
      </c>
      <c r="B727" s="1" t="s">
        <v>160</v>
      </c>
      <c r="C727" s="4">
        <v>23</v>
      </c>
      <c r="D727" s="8">
        <v>1.1100000000000001</v>
      </c>
      <c r="E727" s="4">
        <v>2</v>
      </c>
      <c r="F727" s="8">
        <v>0.38</v>
      </c>
      <c r="G727" s="4">
        <v>21</v>
      </c>
      <c r="H727" s="8">
        <v>1.36</v>
      </c>
      <c r="I727" s="4">
        <v>0</v>
      </c>
    </row>
    <row r="728" spans="1:9" x14ac:dyDescent="0.2">
      <c r="A728" s="2">
        <v>20</v>
      </c>
      <c r="B728" s="1" t="s">
        <v>169</v>
      </c>
      <c r="C728" s="4">
        <v>23</v>
      </c>
      <c r="D728" s="8">
        <v>1.1100000000000001</v>
      </c>
      <c r="E728" s="4">
        <v>7</v>
      </c>
      <c r="F728" s="8">
        <v>1.33</v>
      </c>
      <c r="G728" s="4">
        <v>16</v>
      </c>
      <c r="H728" s="8">
        <v>1.04</v>
      </c>
      <c r="I728" s="4">
        <v>0</v>
      </c>
    </row>
    <row r="729" spans="1:9" x14ac:dyDescent="0.2">
      <c r="A729" s="1"/>
      <c r="C729" s="4"/>
      <c r="D729" s="8"/>
      <c r="E729" s="4"/>
      <c r="F729" s="8"/>
      <c r="G729" s="4"/>
      <c r="H729" s="8"/>
      <c r="I729" s="4"/>
    </row>
    <row r="730" spans="1:9" x14ac:dyDescent="0.2">
      <c r="A730" s="1" t="s">
        <v>32</v>
      </c>
      <c r="C730" s="4"/>
      <c r="D730" s="8"/>
      <c r="E730" s="4"/>
      <c r="F730" s="8"/>
      <c r="G730" s="4"/>
      <c r="H730" s="8"/>
      <c r="I730" s="4"/>
    </row>
    <row r="731" spans="1:9" x14ac:dyDescent="0.2">
      <c r="A731" s="2">
        <v>1</v>
      </c>
      <c r="B731" s="1" t="s">
        <v>164</v>
      </c>
      <c r="C731" s="4">
        <v>78</v>
      </c>
      <c r="D731" s="8">
        <v>5.77</v>
      </c>
      <c r="E731" s="4">
        <v>63</v>
      </c>
      <c r="F731" s="8">
        <v>13.32</v>
      </c>
      <c r="G731" s="4">
        <v>15</v>
      </c>
      <c r="H731" s="8">
        <v>1.71</v>
      </c>
      <c r="I731" s="4">
        <v>0</v>
      </c>
    </row>
    <row r="732" spans="1:9" x14ac:dyDescent="0.2">
      <c r="A732" s="2">
        <v>2</v>
      </c>
      <c r="B732" s="1" t="s">
        <v>206</v>
      </c>
      <c r="C732" s="4">
        <v>48</v>
      </c>
      <c r="D732" s="8">
        <v>3.55</v>
      </c>
      <c r="E732" s="4">
        <v>3</v>
      </c>
      <c r="F732" s="8">
        <v>0.63</v>
      </c>
      <c r="G732" s="4">
        <v>45</v>
      </c>
      <c r="H732" s="8">
        <v>5.14</v>
      </c>
      <c r="I732" s="4">
        <v>0</v>
      </c>
    </row>
    <row r="733" spans="1:9" x14ac:dyDescent="0.2">
      <c r="A733" s="2">
        <v>2</v>
      </c>
      <c r="B733" s="1" t="s">
        <v>158</v>
      </c>
      <c r="C733" s="4">
        <v>48</v>
      </c>
      <c r="D733" s="8">
        <v>3.55</v>
      </c>
      <c r="E733" s="4">
        <v>9</v>
      </c>
      <c r="F733" s="8">
        <v>1.9</v>
      </c>
      <c r="G733" s="4">
        <v>39</v>
      </c>
      <c r="H733" s="8">
        <v>4.45</v>
      </c>
      <c r="I733" s="4">
        <v>0</v>
      </c>
    </row>
    <row r="734" spans="1:9" x14ac:dyDescent="0.2">
      <c r="A734" s="2">
        <v>4</v>
      </c>
      <c r="B734" s="1" t="s">
        <v>163</v>
      </c>
      <c r="C734" s="4">
        <v>41</v>
      </c>
      <c r="D734" s="8">
        <v>3.03</v>
      </c>
      <c r="E734" s="4">
        <v>39</v>
      </c>
      <c r="F734" s="8">
        <v>8.25</v>
      </c>
      <c r="G734" s="4">
        <v>2</v>
      </c>
      <c r="H734" s="8">
        <v>0.23</v>
      </c>
      <c r="I734" s="4">
        <v>0</v>
      </c>
    </row>
    <row r="735" spans="1:9" x14ac:dyDescent="0.2">
      <c r="A735" s="2">
        <v>4</v>
      </c>
      <c r="B735" s="1" t="s">
        <v>165</v>
      </c>
      <c r="C735" s="4">
        <v>41</v>
      </c>
      <c r="D735" s="8">
        <v>3.03</v>
      </c>
      <c r="E735" s="4">
        <v>29</v>
      </c>
      <c r="F735" s="8">
        <v>6.13</v>
      </c>
      <c r="G735" s="4">
        <v>12</v>
      </c>
      <c r="H735" s="8">
        <v>1.37</v>
      </c>
      <c r="I735" s="4">
        <v>0</v>
      </c>
    </row>
    <row r="736" spans="1:9" x14ac:dyDescent="0.2">
      <c r="A736" s="2">
        <v>6</v>
      </c>
      <c r="B736" s="1" t="s">
        <v>155</v>
      </c>
      <c r="C736" s="4">
        <v>39</v>
      </c>
      <c r="D736" s="8">
        <v>2.89</v>
      </c>
      <c r="E736" s="4">
        <v>7</v>
      </c>
      <c r="F736" s="8">
        <v>1.48</v>
      </c>
      <c r="G736" s="4">
        <v>32</v>
      </c>
      <c r="H736" s="8">
        <v>3.65</v>
      </c>
      <c r="I736" s="4">
        <v>0</v>
      </c>
    </row>
    <row r="737" spans="1:9" x14ac:dyDescent="0.2">
      <c r="A737" s="2">
        <v>7</v>
      </c>
      <c r="B737" s="1" t="s">
        <v>166</v>
      </c>
      <c r="C737" s="4">
        <v>37</v>
      </c>
      <c r="D737" s="8">
        <v>2.74</v>
      </c>
      <c r="E737" s="4">
        <v>33</v>
      </c>
      <c r="F737" s="8">
        <v>6.98</v>
      </c>
      <c r="G737" s="4">
        <v>4</v>
      </c>
      <c r="H737" s="8">
        <v>0.46</v>
      </c>
      <c r="I737" s="4">
        <v>0</v>
      </c>
    </row>
    <row r="738" spans="1:9" x14ac:dyDescent="0.2">
      <c r="A738" s="2">
        <v>8</v>
      </c>
      <c r="B738" s="1" t="s">
        <v>152</v>
      </c>
      <c r="C738" s="4">
        <v>31</v>
      </c>
      <c r="D738" s="8">
        <v>2.29</v>
      </c>
      <c r="E738" s="4">
        <v>1</v>
      </c>
      <c r="F738" s="8">
        <v>0.21</v>
      </c>
      <c r="G738" s="4">
        <v>30</v>
      </c>
      <c r="H738" s="8">
        <v>3.42</v>
      </c>
      <c r="I738" s="4">
        <v>0</v>
      </c>
    </row>
    <row r="739" spans="1:9" x14ac:dyDescent="0.2">
      <c r="A739" s="2">
        <v>8</v>
      </c>
      <c r="B739" s="1" t="s">
        <v>161</v>
      </c>
      <c r="C739" s="4">
        <v>31</v>
      </c>
      <c r="D739" s="8">
        <v>2.29</v>
      </c>
      <c r="E739" s="4">
        <v>23</v>
      </c>
      <c r="F739" s="8">
        <v>4.8600000000000003</v>
      </c>
      <c r="G739" s="4">
        <v>8</v>
      </c>
      <c r="H739" s="8">
        <v>0.91</v>
      </c>
      <c r="I739" s="4">
        <v>0</v>
      </c>
    </row>
    <row r="740" spans="1:9" x14ac:dyDescent="0.2">
      <c r="A740" s="2">
        <v>10</v>
      </c>
      <c r="B740" s="1" t="s">
        <v>180</v>
      </c>
      <c r="C740" s="4">
        <v>29</v>
      </c>
      <c r="D740" s="8">
        <v>2.15</v>
      </c>
      <c r="E740" s="4">
        <v>19</v>
      </c>
      <c r="F740" s="8">
        <v>4.0199999999999996</v>
      </c>
      <c r="G740" s="4">
        <v>10</v>
      </c>
      <c r="H740" s="8">
        <v>1.1399999999999999</v>
      </c>
      <c r="I740" s="4">
        <v>0</v>
      </c>
    </row>
    <row r="741" spans="1:9" x14ac:dyDescent="0.2">
      <c r="A741" s="2">
        <v>10</v>
      </c>
      <c r="B741" s="1" t="s">
        <v>167</v>
      </c>
      <c r="C741" s="4">
        <v>29</v>
      </c>
      <c r="D741" s="8">
        <v>2.15</v>
      </c>
      <c r="E741" s="4">
        <v>14</v>
      </c>
      <c r="F741" s="8">
        <v>2.96</v>
      </c>
      <c r="G741" s="4">
        <v>15</v>
      </c>
      <c r="H741" s="8">
        <v>1.71</v>
      </c>
      <c r="I741" s="4">
        <v>0</v>
      </c>
    </row>
    <row r="742" spans="1:9" x14ac:dyDescent="0.2">
      <c r="A742" s="2">
        <v>12</v>
      </c>
      <c r="B742" s="1" t="s">
        <v>162</v>
      </c>
      <c r="C742" s="4">
        <v>28</v>
      </c>
      <c r="D742" s="8">
        <v>2.0699999999999998</v>
      </c>
      <c r="E742" s="4">
        <v>20</v>
      </c>
      <c r="F742" s="8">
        <v>4.2300000000000004</v>
      </c>
      <c r="G742" s="4">
        <v>8</v>
      </c>
      <c r="H742" s="8">
        <v>0.91</v>
      </c>
      <c r="I742" s="4">
        <v>0</v>
      </c>
    </row>
    <row r="743" spans="1:9" x14ac:dyDescent="0.2">
      <c r="A743" s="2">
        <v>13</v>
      </c>
      <c r="B743" s="1" t="s">
        <v>149</v>
      </c>
      <c r="C743" s="4">
        <v>26</v>
      </c>
      <c r="D743" s="8">
        <v>1.92</v>
      </c>
      <c r="E743" s="4">
        <v>2</v>
      </c>
      <c r="F743" s="8">
        <v>0.42</v>
      </c>
      <c r="G743" s="4">
        <v>24</v>
      </c>
      <c r="H743" s="8">
        <v>2.74</v>
      </c>
      <c r="I743" s="4">
        <v>0</v>
      </c>
    </row>
    <row r="744" spans="1:9" x14ac:dyDescent="0.2">
      <c r="A744" s="2">
        <v>14</v>
      </c>
      <c r="B744" s="1" t="s">
        <v>156</v>
      </c>
      <c r="C744" s="4">
        <v>25</v>
      </c>
      <c r="D744" s="8">
        <v>1.85</v>
      </c>
      <c r="E744" s="4">
        <v>11</v>
      </c>
      <c r="F744" s="8">
        <v>2.33</v>
      </c>
      <c r="G744" s="4">
        <v>14</v>
      </c>
      <c r="H744" s="8">
        <v>1.6</v>
      </c>
      <c r="I744" s="4">
        <v>0</v>
      </c>
    </row>
    <row r="745" spans="1:9" x14ac:dyDescent="0.2">
      <c r="A745" s="2">
        <v>15</v>
      </c>
      <c r="B745" s="1" t="s">
        <v>153</v>
      </c>
      <c r="C745" s="4">
        <v>24</v>
      </c>
      <c r="D745" s="8">
        <v>1.78</v>
      </c>
      <c r="E745" s="4">
        <v>0</v>
      </c>
      <c r="F745" s="8">
        <v>0</v>
      </c>
      <c r="G745" s="4">
        <v>24</v>
      </c>
      <c r="H745" s="8">
        <v>2.74</v>
      </c>
      <c r="I745" s="4">
        <v>0</v>
      </c>
    </row>
    <row r="746" spans="1:9" x14ac:dyDescent="0.2">
      <c r="A746" s="2">
        <v>15</v>
      </c>
      <c r="B746" s="1" t="s">
        <v>159</v>
      </c>
      <c r="C746" s="4">
        <v>24</v>
      </c>
      <c r="D746" s="8">
        <v>1.78</v>
      </c>
      <c r="E746" s="4">
        <v>1</v>
      </c>
      <c r="F746" s="8">
        <v>0.21</v>
      </c>
      <c r="G746" s="4">
        <v>23</v>
      </c>
      <c r="H746" s="8">
        <v>2.63</v>
      </c>
      <c r="I746" s="4">
        <v>0</v>
      </c>
    </row>
    <row r="747" spans="1:9" x14ac:dyDescent="0.2">
      <c r="A747" s="2">
        <v>17</v>
      </c>
      <c r="B747" s="1" t="s">
        <v>148</v>
      </c>
      <c r="C747" s="4">
        <v>22</v>
      </c>
      <c r="D747" s="8">
        <v>1.63</v>
      </c>
      <c r="E747" s="4">
        <v>0</v>
      </c>
      <c r="F747" s="8">
        <v>0</v>
      </c>
      <c r="G747" s="4">
        <v>22</v>
      </c>
      <c r="H747" s="8">
        <v>2.5099999999999998</v>
      </c>
      <c r="I747" s="4">
        <v>0</v>
      </c>
    </row>
    <row r="748" spans="1:9" x14ac:dyDescent="0.2">
      <c r="A748" s="2">
        <v>17</v>
      </c>
      <c r="B748" s="1" t="s">
        <v>154</v>
      </c>
      <c r="C748" s="4">
        <v>22</v>
      </c>
      <c r="D748" s="8">
        <v>1.63</v>
      </c>
      <c r="E748" s="4">
        <v>13</v>
      </c>
      <c r="F748" s="8">
        <v>2.75</v>
      </c>
      <c r="G748" s="4">
        <v>9</v>
      </c>
      <c r="H748" s="8">
        <v>1.03</v>
      </c>
      <c r="I748" s="4">
        <v>0</v>
      </c>
    </row>
    <row r="749" spans="1:9" x14ac:dyDescent="0.2">
      <c r="A749" s="2">
        <v>19</v>
      </c>
      <c r="B749" s="1" t="s">
        <v>174</v>
      </c>
      <c r="C749" s="4">
        <v>19</v>
      </c>
      <c r="D749" s="8">
        <v>1.41</v>
      </c>
      <c r="E749" s="4">
        <v>3</v>
      </c>
      <c r="F749" s="8">
        <v>0.63</v>
      </c>
      <c r="G749" s="4">
        <v>16</v>
      </c>
      <c r="H749" s="8">
        <v>1.83</v>
      </c>
      <c r="I749" s="4">
        <v>0</v>
      </c>
    </row>
    <row r="750" spans="1:9" x14ac:dyDescent="0.2">
      <c r="A750" s="2">
        <v>20</v>
      </c>
      <c r="B750" s="1" t="s">
        <v>151</v>
      </c>
      <c r="C750" s="4">
        <v>18</v>
      </c>
      <c r="D750" s="8">
        <v>1.33</v>
      </c>
      <c r="E750" s="4">
        <v>3</v>
      </c>
      <c r="F750" s="8">
        <v>0.63</v>
      </c>
      <c r="G750" s="4">
        <v>15</v>
      </c>
      <c r="H750" s="8">
        <v>1.71</v>
      </c>
      <c r="I750" s="4">
        <v>0</v>
      </c>
    </row>
    <row r="751" spans="1:9" x14ac:dyDescent="0.2">
      <c r="A751" s="2">
        <v>20</v>
      </c>
      <c r="B751" s="1" t="s">
        <v>190</v>
      </c>
      <c r="C751" s="4">
        <v>18</v>
      </c>
      <c r="D751" s="8">
        <v>1.33</v>
      </c>
      <c r="E751" s="4">
        <v>10</v>
      </c>
      <c r="F751" s="8">
        <v>2.11</v>
      </c>
      <c r="G751" s="4">
        <v>8</v>
      </c>
      <c r="H751" s="8">
        <v>0.91</v>
      </c>
      <c r="I751" s="4">
        <v>0</v>
      </c>
    </row>
    <row r="752" spans="1:9" x14ac:dyDescent="0.2">
      <c r="A752" s="2">
        <v>20</v>
      </c>
      <c r="B752" s="1" t="s">
        <v>207</v>
      </c>
      <c r="C752" s="4">
        <v>18</v>
      </c>
      <c r="D752" s="8">
        <v>1.33</v>
      </c>
      <c r="E752" s="4">
        <v>0</v>
      </c>
      <c r="F752" s="8">
        <v>0</v>
      </c>
      <c r="G752" s="4">
        <v>18</v>
      </c>
      <c r="H752" s="8">
        <v>2.0499999999999998</v>
      </c>
      <c r="I752" s="4">
        <v>0</v>
      </c>
    </row>
    <row r="753" spans="1:9" x14ac:dyDescent="0.2">
      <c r="A753" s="2">
        <v>20</v>
      </c>
      <c r="B753" s="1" t="s">
        <v>160</v>
      </c>
      <c r="C753" s="4">
        <v>18</v>
      </c>
      <c r="D753" s="8">
        <v>1.33</v>
      </c>
      <c r="E753" s="4">
        <v>3</v>
      </c>
      <c r="F753" s="8">
        <v>0.63</v>
      </c>
      <c r="G753" s="4">
        <v>15</v>
      </c>
      <c r="H753" s="8">
        <v>1.71</v>
      </c>
      <c r="I753" s="4">
        <v>0</v>
      </c>
    </row>
    <row r="754" spans="1:9" x14ac:dyDescent="0.2">
      <c r="A754" s="2">
        <v>20</v>
      </c>
      <c r="B754" s="1" t="s">
        <v>179</v>
      </c>
      <c r="C754" s="4">
        <v>18</v>
      </c>
      <c r="D754" s="8">
        <v>1.33</v>
      </c>
      <c r="E754" s="4">
        <v>8</v>
      </c>
      <c r="F754" s="8">
        <v>1.69</v>
      </c>
      <c r="G754" s="4">
        <v>10</v>
      </c>
      <c r="H754" s="8">
        <v>1.1399999999999999</v>
      </c>
      <c r="I754" s="4">
        <v>0</v>
      </c>
    </row>
    <row r="755" spans="1:9" x14ac:dyDescent="0.2">
      <c r="A755" s="1"/>
      <c r="C755" s="4"/>
      <c r="D755" s="8"/>
      <c r="E755" s="4"/>
      <c r="F755" s="8"/>
      <c r="G755" s="4"/>
      <c r="H755" s="8"/>
      <c r="I755" s="4"/>
    </row>
    <row r="756" spans="1:9" x14ac:dyDescent="0.2">
      <c r="A756" s="1" t="s">
        <v>33</v>
      </c>
      <c r="C756" s="4"/>
      <c r="D756" s="8"/>
      <c r="E756" s="4"/>
      <c r="F756" s="8"/>
      <c r="G756" s="4"/>
      <c r="H756" s="8"/>
      <c r="I756" s="4"/>
    </row>
    <row r="757" spans="1:9" x14ac:dyDescent="0.2">
      <c r="A757" s="2">
        <v>1</v>
      </c>
      <c r="B757" s="1" t="s">
        <v>164</v>
      </c>
      <c r="C757" s="4">
        <v>55</v>
      </c>
      <c r="D757" s="8">
        <v>5.15</v>
      </c>
      <c r="E757" s="4">
        <v>51</v>
      </c>
      <c r="F757" s="8">
        <v>12.35</v>
      </c>
      <c r="G757" s="4">
        <v>4</v>
      </c>
      <c r="H757" s="8">
        <v>0.62</v>
      </c>
      <c r="I757" s="4">
        <v>0</v>
      </c>
    </row>
    <row r="758" spans="1:9" x14ac:dyDescent="0.2">
      <c r="A758" s="2">
        <v>2</v>
      </c>
      <c r="B758" s="1" t="s">
        <v>158</v>
      </c>
      <c r="C758" s="4">
        <v>42</v>
      </c>
      <c r="D758" s="8">
        <v>3.93</v>
      </c>
      <c r="E758" s="4">
        <v>22</v>
      </c>
      <c r="F758" s="8">
        <v>5.33</v>
      </c>
      <c r="G758" s="4">
        <v>19</v>
      </c>
      <c r="H758" s="8">
        <v>2.93</v>
      </c>
      <c r="I758" s="4">
        <v>0</v>
      </c>
    </row>
    <row r="759" spans="1:9" x14ac:dyDescent="0.2">
      <c r="A759" s="2">
        <v>3</v>
      </c>
      <c r="B759" s="1" t="s">
        <v>163</v>
      </c>
      <c r="C759" s="4">
        <v>39</v>
      </c>
      <c r="D759" s="8">
        <v>3.65</v>
      </c>
      <c r="E759" s="4">
        <v>34</v>
      </c>
      <c r="F759" s="8">
        <v>8.23</v>
      </c>
      <c r="G759" s="4">
        <v>5</v>
      </c>
      <c r="H759" s="8">
        <v>0.77</v>
      </c>
      <c r="I759" s="4">
        <v>0</v>
      </c>
    </row>
    <row r="760" spans="1:9" x14ac:dyDescent="0.2">
      <c r="A760" s="2">
        <v>4</v>
      </c>
      <c r="B760" s="1" t="s">
        <v>208</v>
      </c>
      <c r="C760" s="4">
        <v>37</v>
      </c>
      <c r="D760" s="8">
        <v>3.46</v>
      </c>
      <c r="E760" s="4">
        <v>0</v>
      </c>
      <c r="F760" s="8">
        <v>0</v>
      </c>
      <c r="G760" s="4">
        <v>37</v>
      </c>
      <c r="H760" s="8">
        <v>5.7</v>
      </c>
      <c r="I760" s="4">
        <v>0</v>
      </c>
    </row>
    <row r="761" spans="1:9" x14ac:dyDescent="0.2">
      <c r="A761" s="2">
        <v>5</v>
      </c>
      <c r="B761" s="1" t="s">
        <v>162</v>
      </c>
      <c r="C761" s="4">
        <v>35</v>
      </c>
      <c r="D761" s="8">
        <v>3.28</v>
      </c>
      <c r="E761" s="4">
        <v>32</v>
      </c>
      <c r="F761" s="8">
        <v>7.75</v>
      </c>
      <c r="G761" s="4">
        <v>3</v>
      </c>
      <c r="H761" s="8">
        <v>0.46</v>
      </c>
      <c r="I761" s="4">
        <v>0</v>
      </c>
    </row>
    <row r="762" spans="1:9" x14ac:dyDescent="0.2">
      <c r="A762" s="2">
        <v>6</v>
      </c>
      <c r="B762" s="1" t="s">
        <v>153</v>
      </c>
      <c r="C762" s="4">
        <v>32</v>
      </c>
      <c r="D762" s="8">
        <v>3</v>
      </c>
      <c r="E762" s="4">
        <v>2</v>
      </c>
      <c r="F762" s="8">
        <v>0.48</v>
      </c>
      <c r="G762" s="4">
        <v>30</v>
      </c>
      <c r="H762" s="8">
        <v>4.62</v>
      </c>
      <c r="I762" s="4">
        <v>0</v>
      </c>
    </row>
    <row r="763" spans="1:9" x14ac:dyDescent="0.2">
      <c r="A763" s="2">
        <v>7</v>
      </c>
      <c r="B763" s="1" t="s">
        <v>148</v>
      </c>
      <c r="C763" s="4">
        <v>30</v>
      </c>
      <c r="D763" s="8">
        <v>2.81</v>
      </c>
      <c r="E763" s="4">
        <v>3</v>
      </c>
      <c r="F763" s="8">
        <v>0.73</v>
      </c>
      <c r="G763" s="4">
        <v>27</v>
      </c>
      <c r="H763" s="8">
        <v>4.16</v>
      </c>
      <c r="I763" s="4">
        <v>0</v>
      </c>
    </row>
    <row r="764" spans="1:9" x14ac:dyDescent="0.2">
      <c r="A764" s="2">
        <v>7</v>
      </c>
      <c r="B764" s="1" t="s">
        <v>152</v>
      </c>
      <c r="C764" s="4">
        <v>30</v>
      </c>
      <c r="D764" s="8">
        <v>2.81</v>
      </c>
      <c r="E764" s="4">
        <v>4</v>
      </c>
      <c r="F764" s="8">
        <v>0.97</v>
      </c>
      <c r="G764" s="4">
        <v>26</v>
      </c>
      <c r="H764" s="8">
        <v>4.01</v>
      </c>
      <c r="I764" s="4">
        <v>0</v>
      </c>
    </row>
    <row r="765" spans="1:9" x14ac:dyDescent="0.2">
      <c r="A765" s="2">
        <v>9</v>
      </c>
      <c r="B765" s="1" t="s">
        <v>161</v>
      </c>
      <c r="C765" s="4">
        <v>27</v>
      </c>
      <c r="D765" s="8">
        <v>2.5299999999999998</v>
      </c>
      <c r="E765" s="4">
        <v>20</v>
      </c>
      <c r="F765" s="8">
        <v>4.84</v>
      </c>
      <c r="G765" s="4">
        <v>7</v>
      </c>
      <c r="H765" s="8">
        <v>1.08</v>
      </c>
      <c r="I765" s="4">
        <v>0</v>
      </c>
    </row>
    <row r="766" spans="1:9" x14ac:dyDescent="0.2">
      <c r="A766" s="2">
        <v>10</v>
      </c>
      <c r="B766" s="1" t="s">
        <v>155</v>
      </c>
      <c r="C766" s="4">
        <v>26</v>
      </c>
      <c r="D766" s="8">
        <v>2.4300000000000002</v>
      </c>
      <c r="E766" s="4">
        <v>13</v>
      </c>
      <c r="F766" s="8">
        <v>3.15</v>
      </c>
      <c r="G766" s="4">
        <v>13</v>
      </c>
      <c r="H766" s="8">
        <v>2</v>
      </c>
      <c r="I766" s="4">
        <v>0</v>
      </c>
    </row>
    <row r="767" spans="1:9" x14ac:dyDescent="0.2">
      <c r="A767" s="2">
        <v>11</v>
      </c>
      <c r="B767" s="1" t="s">
        <v>157</v>
      </c>
      <c r="C767" s="4">
        <v>23</v>
      </c>
      <c r="D767" s="8">
        <v>2.15</v>
      </c>
      <c r="E767" s="4">
        <v>4</v>
      </c>
      <c r="F767" s="8">
        <v>0.97</v>
      </c>
      <c r="G767" s="4">
        <v>19</v>
      </c>
      <c r="H767" s="8">
        <v>2.93</v>
      </c>
      <c r="I767" s="4">
        <v>0</v>
      </c>
    </row>
    <row r="768" spans="1:9" x14ac:dyDescent="0.2">
      <c r="A768" s="2">
        <v>12</v>
      </c>
      <c r="B768" s="1" t="s">
        <v>175</v>
      </c>
      <c r="C768" s="4">
        <v>22</v>
      </c>
      <c r="D768" s="8">
        <v>2.06</v>
      </c>
      <c r="E768" s="4">
        <v>3</v>
      </c>
      <c r="F768" s="8">
        <v>0.73</v>
      </c>
      <c r="G768" s="4">
        <v>19</v>
      </c>
      <c r="H768" s="8">
        <v>2.93</v>
      </c>
      <c r="I768" s="4">
        <v>0</v>
      </c>
    </row>
    <row r="769" spans="1:9" x14ac:dyDescent="0.2">
      <c r="A769" s="2">
        <v>12</v>
      </c>
      <c r="B769" s="1" t="s">
        <v>167</v>
      </c>
      <c r="C769" s="4">
        <v>22</v>
      </c>
      <c r="D769" s="8">
        <v>2.06</v>
      </c>
      <c r="E769" s="4">
        <v>12</v>
      </c>
      <c r="F769" s="8">
        <v>2.91</v>
      </c>
      <c r="G769" s="4">
        <v>10</v>
      </c>
      <c r="H769" s="8">
        <v>1.54</v>
      </c>
      <c r="I769" s="4">
        <v>0</v>
      </c>
    </row>
    <row r="770" spans="1:9" x14ac:dyDescent="0.2">
      <c r="A770" s="2">
        <v>14</v>
      </c>
      <c r="B770" s="1" t="s">
        <v>150</v>
      </c>
      <c r="C770" s="4">
        <v>18</v>
      </c>
      <c r="D770" s="8">
        <v>1.69</v>
      </c>
      <c r="E770" s="4">
        <v>9</v>
      </c>
      <c r="F770" s="8">
        <v>2.1800000000000002</v>
      </c>
      <c r="G770" s="4">
        <v>9</v>
      </c>
      <c r="H770" s="8">
        <v>1.39</v>
      </c>
      <c r="I770" s="4">
        <v>0</v>
      </c>
    </row>
    <row r="771" spans="1:9" x14ac:dyDescent="0.2">
      <c r="A771" s="2">
        <v>14</v>
      </c>
      <c r="B771" s="1" t="s">
        <v>166</v>
      </c>
      <c r="C771" s="4">
        <v>18</v>
      </c>
      <c r="D771" s="8">
        <v>1.69</v>
      </c>
      <c r="E771" s="4">
        <v>18</v>
      </c>
      <c r="F771" s="8">
        <v>4.3600000000000003</v>
      </c>
      <c r="G771" s="4">
        <v>0</v>
      </c>
      <c r="H771" s="8">
        <v>0</v>
      </c>
      <c r="I771" s="4">
        <v>0</v>
      </c>
    </row>
    <row r="772" spans="1:9" x14ac:dyDescent="0.2">
      <c r="A772" s="2">
        <v>16</v>
      </c>
      <c r="B772" s="1" t="s">
        <v>149</v>
      </c>
      <c r="C772" s="4">
        <v>17</v>
      </c>
      <c r="D772" s="8">
        <v>1.59</v>
      </c>
      <c r="E772" s="4">
        <v>2</v>
      </c>
      <c r="F772" s="8">
        <v>0.48</v>
      </c>
      <c r="G772" s="4">
        <v>15</v>
      </c>
      <c r="H772" s="8">
        <v>2.31</v>
      </c>
      <c r="I772" s="4">
        <v>0</v>
      </c>
    </row>
    <row r="773" spans="1:9" x14ac:dyDescent="0.2">
      <c r="A773" s="2">
        <v>16</v>
      </c>
      <c r="B773" s="1" t="s">
        <v>156</v>
      </c>
      <c r="C773" s="4">
        <v>17</v>
      </c>
      <c r="D773" s="8">
        <v>1.59</v>
      </c>
      <c r="E773" s="4">
        <v>7</v>
      </c>
      <c r="F773" s="8">
        <v>1.69</v>
      </c>
      <c r="G773" s="4">
        <v>10</v>
      </c>
      <c r="H773" s="8">
        <v>1.54</v>
      </c>
      <c r="I773" s="4">
        <v>0</v>
      </c>
    </row>
    <row r="774" spans="1:9" x14ac:dyDescent="0.2">
      <c r="A774" s="2">
        <v>18</v>
      </c>
      <c r="B774" s="1" t="s">
        <v>168</v>
      </c>
      <c r="C774" s="4">
        <v>16</v>
      </c>
      <c r="D774" s="8">
        <v>1.5</v>
      </c>
      <c r="E774" s="4">
        <v>4</v>
      </c>
      <c r="F774" s="8">
        <v>0.97</v>
      </c>
      <c r="G774" s="4">
        <v>12</v>
      </c>
      <c r="H774" s="8">
        <v>1.85</v>
      </c>
      <c r="I774" s="4">
        <v>0</v>
      </c>
    </row>
    <row r="775" spans="1:9" x14ac:dyDescent="0.2">
      <c r="A775" s="2">
        <v>19</v>
      </c>
      <c r="B775" s="1" t="s">
        <v>201</v>
      </c>
      <c r="C775" s="4">
        <v>14</v>
      </c>
      <c r="D775" s="8">
        <v>1.31</v>
      </c>
      <c r="E775" s="4">
        <v>0</v>
      </c>
      <c r="F775" s="8">
        <v>0</v>
      </c>
      <c r="G775" s="4">
        <v>14</v>
      </c>
      <c r="H775" s="8">
        <v>2.16</v>
      </c>
      <c r="I775" s="4">
        <v>0</v>
      </c>
    </row>
    <row r="776" spans="1:9" x14ac:dyDescent="0.2">
      <c r="A776" s="2">
        <v>19</v>
      </c>
      <c r="B776" s="1" t="s">
        <v>160</v>
      </c>
      <c r="C776" s="4">
        <v>14</v>
      </c>
      <c r="D776" s="8">
        <v>1.31</v>
      </c>
      <c r="E776" s="4">
        <v>2</v>
      </c>
      <c r="F776" s="8">
        <v>0.48</v>
      </c>
      <c r="G776" s="4">
        <v>12</v>
      </c>
      <c r="H776" s="8">
        <v>1.85</v>
      </c>
      <c r="I776" s="4">
        <v>0</v>
      </c>
    </row>
    <row r="777" spans="1:9" x14ac:dyDescent="0.2">
      <c r="A777" s="2">
        <v>19</v>
      </c>
      <c r="B777" s="1" t="s">
        <v>165</v>
      </c>
      <c r="C777" s="4">
        <v>14</v>
      </c>
      <c r="D777" s="8">
        <v>1.31</v>
      </c>
      <c r="E777" s="4">
        <v>8</v>
      </c>
      <c r="F777" s="8">
        <v>1.94</v>
      </c>
      <c r="G777" s="4">
        <v>6</v>
      </c>
      <c r="H777" s="8">
        <v>0.92</v>
      </c>
      <c r="I777" s="4">
        <v>0</v>
      </c>
    </row>
    <row r="778" spans="1:9" x14ac:dyDescent="0.2">
      <c r="A778" s="1"/>
      <c r="C778" s="4"/>
      <c r="D778" s="8"/>
      <c r="E778" s="4"/>
      <c r="F778" s="8"/>
      <c r="G778" s="4"/>
      <c r="H778" s="8"/>
      <c r="I778" s="4"/>
    </row>
    <row r="779" spans="1:9" x14ac:dyDescent="0.2">
      <c r="A779" s="1" t="s">
        <v>34</v>
      </c>
      <c r="C779" s="4"/>
      <c r="D779" s="8"/>
      <c r="E779" s="4"/>
      <c r="F779" s="8"/>
      <c r="G779" s="4"/>
      <c r="H779" s="8"/>
      <c r="I779" s="4"/>
    </row>
    <row r="780" spans="1:9" x14ac:dyDescent="0.2">
      <c r="A780" s="2">
        <v>1</v>
      </c>
      <c r="B780" s="1" t="s">
        <v>164</v>
      </c>
      <c r="C780" s="4">
        <v>73</v>
      </c>
      <c r="D780" s="8">
        <v>5.0599999999999996</v>
      </c>
      <c r="E780" s="4">
        <v>68</v>
      </c>
      <c r="F780" s="8">
        <v>10.76</v>
      </c>
      <c r="G780" s="4">
        <v>5</v>
      </c>
      <c r="H780" s="8">
        <v>0.62</v>
      </c>
      <c r="I780" s="4">
        <v>0</v>
      </c>
    </row>
    <row r="781" spans="1:9" x14ac:dyDescent="0.2">
      <c r="A781" s="2">
        <v>2</v>
      </c>
      <c r="B781" s="1" t="s">
        <v>167</v>
      </c>
      <c r="C781" s="4">
        <v>56</v>
      </c>
      <c r="D781" s="8">
        <v>3.88</v>
      </c>
      <c r="E781" s="4">
        <v>38</v>
      </c>
      <c r="F781" s="8">
        <v>6.01</v>
      </c>
      <c r="G781" s="4">
        <v>18</v>
      </c>
      <c r="H781" s="8">
        <v>2.2400000000000002</v>
      </c>
      <c r="I781" s="4">
        <v>0</v>
      </c>
    </row>
    <row r="782" spans="1:9" x14ac:dyDescent="0.2">
      <c r="A782" s="2">
        <v>3</v>
      </c>
      <c r="B782" s="1" t="s">
        <v>163</v>
      </c>
      <c r="C782" s="4">
        <v>46</v>
      </c>
      <c r="D782" s="8">
        <v>3.19</v>
      </c>
      <c r="E782" s="4">
        <v>42</v>
      </c>
      <c r="F782" s="8">
        <v>6.65</v>
      </c>
      <c r="G782" s="4">
        <v>4</v>
      </c>
      <c r="H782" s="8">
        <v>0.5</v>
      </c>
      <c r="I782" s="4">
        <v>0</v>
      </c>
    </row>
    <row r="783" spans="1:9" x14ac:dyDescent="0.2">
      <c r="A783" s="2">
        <v>4</v>
      </c>
      <c r="B783" s="1" t="s">
        <v>152</v>
      </c>
      <c r="C783" s="4">
        <v>37</v>
      </c>
      <c r="D783" s="8">
        <v>2.57</v>
      </c>
      <c r="E783" s="4">
        <v>5</v>
      </c>
      <c r="F783" s="8">
        <v>0.79</v>
      </c>
      <c r="G783" s="4">
        <v>32</v>
      </c>
      <c r="H783" s="8">
        <v>3.98</v>
      </c>
      <c r="I783" s="4">
        <v>0</v>
      </c>
    </row>
    <row r="784" spans="1:9" x14ac:dyDescent="0.2">
      <c r="A784" s="2">
        <v>4</v>
      </c>
      <c r="B784" s="1" t="s">
        <v>158</v>
      </c>
      <c r="C784" s="4">
        <v>37</v>
      </c>
      <c r="D784" s="8">
        <v>2.57</v>
      </c>
      <c r="E784" s="4">
        <v>28</v>
      </c>
      <c r="F784" s="8">
        <v>4.43</v>
      </c>
      <c r="G784" s="4">
        <v>8</v>
      </c>
      <c r="H784" s="8">
        <v>0.99</v>
      </c>
      <c r="I784" s="4">
        <v>0</v>
      </c>
    </row>
    <row r="785" spans="1:9" x14ac:dyDescent="0.2">
      <c r="A785" s="2">
        <v>6</v>
      </c>
      <c r="B785" s="1" t="s">
        <v>161</v>
      </c>
      <c r="C785" s="4">
        <v>36</v>
      </c>
      <c r="D785" s="8">
        <v>2.5</v>
      </c>
      <c r="E785" s="4">
        <v>28</v>
      </c>
      <c r="F785" s="8">
        <v>4.43</v>
      </c>
      <c r="G785" s="4">
        <v>8</v>
      </c>
      <c r="H785" s="8">
        <v>0.99</v>
      </c>
      <c r="I785" s="4">
        <v>0</v>
      </c>
    </row>
    <row r="786" spans="1:9" x14ac:dyDescent="0.2">
      <c r="A786" s="2">
        <v>7</v>
      </c>
      <c r="B786" s="1" t="s">
        <v>155</v>
      </c>
      <c r="C786" s="4">
        <v>35</v>
      </c>
      <c r="D786" s="8">
        <v>2.4300000000000002</v>
      </c>
      <c r="E786" s="4">
        <v>9</v>
      </c>
      <c r="F786" s="8">
        <v>1.42</v>
      </c>
      <c r="G786" s="4">
        <v>26</v>
      </c>
      <c r="H786" s="8">
        <v>3.23</v>
      </c>
      <c r="I786" s="4">
        <v>0</v>
      </c>
    </row>
    <row r="787" spans="1:9" x14ac:dyDescent="0.2">
      <c r="A787" s="2">
        <v>7</v>
      </c>
      <c r="B787" s="1" t="s">
        <v>162</v>
      </c>
      <c r="C787" s="4">
        <v>35</v>
      </c>
      <c r="D787" s="8">
        <v>2.4300000000000002</v>
      </c>
      <c r="E787" s="4">
        <v>33</v>
      </c>
      <c r="F787" s="8">
        <v>5.22</v>
      </c>
      <c r="G787" s="4">
        <v>2</v>
      </c>
      <c r="H787" s="8">
        <v>0.25</v>
      </c>
      <c r="I787" s="4">
        <v>0</v>
      </c>
    </row>
    <row r="788" spans="1:9" x14ac:dyDescent="0.2">
      <c r="A788" s="2">
        <v>9</v>
      </c>
      <c r="B788" s="1" t="s">
        <v>153</v>
      </c>
      <c r="C788" s="4">
        <v>33</v>
      </c>
      <c r="D788" s="8">
        <v>2.29</v>
      </c>
      <c r="E788" s="4">
        <v>5</v>
      </c>
      <c r="F788" s="8">
        <v>0.79</v>
      </c>
      <c r="G788" s="4">
        <v>28</v>
      </c>
      <c r="H788" s="8">
        <v>3.48</v>
      </c>
      <c r="I788" s="4">
        <v>0</v>
      </c>
    </row>
    <row r="789" spans="1:9" x14ac:dyDescent="0.2">
      <c r="A789" s="2">
        <v>10</v>
      </c>
      <c r="B789" s="1" t="s">
        <v>150</v>
      </c>
      <c r="C789" s="4">
        <v>32</v>
      </c>
      <c r="D789" s="8">
        <v>2.2200000000000002</v>
      </c>
      <c r="E789" s="4">
        <v>12</v>
      </c>
      <c r="F789" s="8">
        <v>1.9</v>
      </c>
      <c r="G789" s="4">
        <v>20</v>
      </c>
      <c r="H789" s="8">
        <v>2.48</v>
      </c>
      <c r="I789" s="4">
        <v>0</v>
      </c>
    </row>
    <row r="790" spans="1:9" x14ac:dyDescent="0.2">
      <c r="A790" s="2">
        <v>11</v>
      </c>
      <c r="B790" s="1" t="s">
        <v>174</v>
      </c>
      <c r="C790" s="4">
        <v>29</v>
      </c>
      <c r="D790" s="8">
        <v>2.0099999999999998</v>
      </c>
      <c r="E790" s="4">
        <v>11</v>
      </c>
      <c r="F790" s="8">
        <v>1.74</v>
      </c>
      <c r="G790" s="4">
        <v>18</v>
      </c>
      <c r="H790" s="8">
        <v>2.2400000000000002</v>
      </c>
      <c r="I790" s="4">
        <v>0</v>
      </c>
    </row>
    <row r="791" spans="1:9" x14ac:dyDescent="0.2">
      <c r="A791" s="2">
        <v>12</v>
      </c>
      <c r="B791" s="1" t="s">
        <v>151</v>
      </c>
      <c r="C791" s="4">
        <v>28</v>
      </c>
      <c r="D791" s="8">
        <v>1.94</v>
      </c>
      <c r="E791" s="4">
        <v>7</v>
      </c>
      <c r="F791" s="8">
        <v>1.1100000000000001</v>
      </c>
      <c r="G791" s="4">
        <v>21</v>
      </c>
      <c r="H791" s="8">
        <v>2.61</v>
      </c>
      <c r="I791" s="4">
        <v>0</v>
      </c>
    </row>
    <row r="792" spans="1:9" x14ac:dyDescent="0.2">
      <c r="A792" s="2">
        <v>13</v>
      </c>
      <c r="B792" s="1" t="s">
        <v>148</v>
      </c>
      <c r="C792" s="4">
        <v>27</v>
      </c>
      <c r="D792" s="8">
        <v>1.87</v>
      </c>
      <c r="E792" s="4">
        <v>9</v>
      </c>
      <c r="F792" s="8">
        <v>1.42</v>
      </c>
      <c r="G792" s="4">
        <v>18</v>
      </c>
      <c r="H792" s="8">
        <v>2.2400000000000002</v>
      </c>
      <c r="I792" s="4">
        <v>0</v>
      </c>
    </row>
    <row r="793" spans="1:9" x14ac:dyDescent="0.2">
      <c r="A793" s="2">
        <v>13</v>
      </c>
      <c r="B793" s="1" t="s">
        <v>165</v>
      </c>
      <c r="C793" s="4">
        <v>27</v>
      </c>
      <c r="D793" s="8">
        <v>1.87</v>
      </c>
      <c r="E793" s="4">
        <v>19</v>
      </c>
      <c r="F793" s="8">
        <v>3.01</v>
      </c>
      <c r="G793" s="4">
        <v>8</v>
      </c>
      <c r="H793" s="8">
        <v>0.99</v>
      </c>
      <c r="I793" s="4">
        <v>0</v>
      </c>
    </row>
    <row r="794" spans="1:9" x14ac:dyDescent="0.2">
      <c r="A794" s="2">
        <v>15</v>
      </c>
      <c r="B794" s="1" t="s">
        <v>203</v>
      </c>
      <c r="C794" s="4">
        <v>26</v>
      </c>
      <c r="D794" s="8">
        <v>1.8</v>
      </c>
      <c r="E794" s="4">
        <v>3</v>
      </c>
      <c r="F794" s="8">
        <v>0.47</v>
      </c>
      <c r="G794" s="4">
        <v>23</v>
      </c>
      <c r="H794" s="8">
        <v>2.86</v>
      </c>
      <c r="I794" s="4">
        <v>0</v>
      </c>
    </row>
    <row r="795" spans="1:9" x14ac:dyDescent="0.2">
      <c r="A795" s="2">
        <v>16</v>
      </c>
      <c r="B795" s="1" t="s">
        <v>149</v>
      </c>
      <c r="C795" s="4">
        <v>21</v>
      </c>
      <c r="D795" s="8">
        <v>1.46</v>
      </c>
      <c r="E795" s="4">
        <v>3</v>
      </c>
      <c r="F795" s="8">
        <v>0.47</v>
      </c>
      <c r="G795" s="4">
        <v>18</v>
      </c>
      <c r="H795" s="8">
        <v>2.2400000000000002</v>
      </c>
      <c r="I795" s="4">
        <v>0</v>
      </c>
    </row>
    <row r="796" spans="1:9" x14ac:dyDescent="0.2">
      <c r="A796" s="2">
        <v>16</v>
      </c>
      <c r="B796" s="1" t="s">
        <v>176</v>
      </c>
      <c r="C796" s="4">
        <v>21</v>
      </c>
      <c r="D796" s="8">
        <v>1.46</v>
      </c>
      <c r="E796" s="4">
        <v>4</v>
      </c>
      <c r="F796" s="8">
        <v>0.63</v>
      </c>
      <c r="G796" s="4">
        <v>17</v>
      </c>
      <c r="H796" s="8">
        <v>2.11</v>
      </c>
      <c r="I796" s="4">
        <v>0</v>
      </c>
    </row>
    <row r="797" spans="1:9" x14ac:dyDescent="0.2">
      <c r="A797" s="2">
        <v>18</v>
      </c>
      <c r="B797" s="1" t="s">
        <v>156</v>
      </c>
      <c r="C797" s="4">
        <v>20</v>
      </c>
      <c r="D797" s="8">
        <v>1.39</v>
      </c>
      <c r="E797" s="4">
        <v>15</v>
      </c>
      <c r="F797" s="8">
        <v>2.37</v>
      </c>
      <c r="G797" s="4">
        <v>5</v>
      </c>
      <c r="H797" s="8">
        <v>0.62</v>
      </c>
      <c r="I797" s="4">
        <v>0</v>
      </c>
    </row>
    <row r="798" spans="1:9" x14ac:dyDescent="0.2">
      <c r="A798" s="2">
        <v>19</v>
      </c>
      <c r="B798" s="1" t="s">
        <v>166</v>
      </c>
      <c r="C798" s="4">
        <v>19</v>
      </c>
      <c r="D798" s="8">
        <v>1.32</v>
      </c>
      <c r="E798" s="4">
        <v>18</v>
      </c>
      <c r="F798" s="8">
        <v>2.85</v>
      </c>
      <c r="G798" s="4">
        <v>1</v>
      </c>
      <c r="H798" s="8">
        <v>0.12</v>
      </c>
      <c r="I798" s="4">
        <v>0</v>
      </c>
    </row>
    <row r="799" spans="1:9" x14ac:dyDescent="0.2">
      <c r="A799" s="2">
        <v>20</v>
      </c>
      <c r="B799" s="1" t="s">
        <v>157</v>
      </c>
      <c r="C799" s="4">
        <v>18</v>
      </c>
      <c r="D799" s="8">
        <v>1.25</v>
      </c>
      <c r="E799" s="4">
        <v>3</v>
      </c>
      <c r="F799" s="8">
        <v>0.47</v>
      </c>
      <c r="G799" s="4">
        <v>15</v>
      </c>
      <c r="H799" s="8">
        <v>1.86</v>
      </c>
      <c r="I799" s="4">
        <v>0</v>
      </c>
    </row>
    <row r="800" spans="1:9" x14ac:dyDescent="0.2">
      <c r="A800" s="1"/>
      <c r="C800" s="4"/>
      <c r="D800" s="8"/>
      <c r="E800" s="4"/>
      <c r="F800" s="8"/>
      <c r="G800" s="4"/>
      <c r="H800" s="8"/>
      <c r="I800" s="4"/>
    </row>
    <row r="801" spans="1:9" x14ac:dyDescent="0.2">
      <c r="A801" s="1" t="s">
        <v>35</v>
      </c>
      <c r="C801" s="4"/>
      <c r="D801" s="8"/>
      <c r="E801" s="4"/>
      <c r="F801" s="8"/>
      <c r="G801" s="4"/>
      <c r="H801" s="8"/>
      <c r="I801" s="4"/>
    </row>
    <row r="802" spans="1:9" x14ac:dyDescent="0.2">
      <c r="A802" s="2">
        <v>1</v>
      </c>
      <c r="B802" s="1" t="s">
        <v>164</v>
      </c>
      <c r="C802" s="4">
        <v>55</v>
      </c>
      <c r="D802" s="8">
        <v>4.49</v>
      </c>
      <c r="E802" s="4">
        <v>45</v>
      </c>
      <c r="F802" s="8">
        <v>9.57</v>
      </c>
      <c r="G802" s="4">
        <v>10</v>
      </c>
      <c r="H802" s="8">
        <v>1.35</v>
      </c>
      <c r="I802" s="4">
        <v>0</v>
      </c>
    </row>
    <row r="803" spans="1:9" x14ac:dyDescent="0.2">
      <c r="A803" s="2">
        <v>2</v>
      </c>
      <c r="B803" s="1" t="s">
        <v>158</v>
      </c>
      <c r="C803" s="4">
        <v>40</v>
      </c>
      <c r="D803" s="8">
        <v>3.27</v>
      </c>
      <c r="E803" s="4">
        <v>16</v>
      </c>
      <c r="F803" s="8">
        <v>3.4</v>
      </c>
      <c r="G803" s="4">
        <v>24</v>
      </c>
      <c r="H803" s="8">
        <v>3.24</v>
      </c>
      <c r="I803" s="4">
        <v>0</v>
      </c>
    </row>
    <row r="804" spans="1:9" x14ac:dyDescent="0.2">
      <c r="A804" s="2">
        <v>3</v>
      </c>
      <c r="B804" s="1" t="s">
        <v>167</v>
      </c>
      <c r="C804" s="4">
        <v>39</v>
      </c>
      <c r="D804" s="8">
        <v>3.18</v>
      </c>
      <c r="E804" s="4">
        <v>19</v>
      </c>
      <c r="F804" s="8">
        <v>4.04</v>
      </c>
      <c r="G804" s="4">
        <v>20</v>
      </c>
      <c r="H804" s="8">
        <v>2.7</v>
      </c>
      <c r="I804" s="4">
        <v>0</v>
      </c>
    </row>
    <row r="805" spans="1:9" x14ac:dyDescent="0.2">
      <c r="A805" s="2">
        <v>4</v>
      </c>
      <c r="B805" s="1" t="s">
        <v>165</v>
      </c>
      <c r="C805" s="4">
        <v>35</v>
      </c>
      <c r="D805" s="8">
        <v>2.86</v>
      </c>
      <c r="E805" s="4">
        <v>19</v>
      </c>
      <c r="F805" s="8">
        <v>4.04</v>
      </c>
      <c r="G805" s="4">
        <v>16</v>
      </c>
      <c r="H805" s="8">
        <v>2.16</v>
      </c>
      <c r="I805" s="4">
        <v>0</v>
      </c>
    </row>
    <row r="806" spans="1:9" x14ac:dyDescent="0.2">
      <c r="A806" s="2">
        <v>5</v>
      </c>
      <c r="B806" s="1" t="s">
        <v>148</v>
      </c>
      <c r="C806" s="4">
        <v>33</v>
      </c>
      <c r="D806" s="8">
        <v>2.69</v>
      </c>
      <c r="E806" s="4">
        <v>4</v>
      </c>
      <c r="F806" s="8">
        <v>0.85</v>
      </c>
      <c r="G806" s="4">
        <v>29</v>
      </c>
      <c r="H806" s="8">
        <v>3.91</v>
      </c>
      <c r="I806" s="4">
        <v>0</v>
      </c>
    </row>
    <row r="807" spans="1:9" x14ac:dyDescent="0.2">
      <c r="A807" s="2">
        <v>6</v>
      </c>
      <c r="B807" s="1" t="s">
        <v>150</v>
      </c>
      <c r="C807" s="4">
        <v>29</v>
      </c>
      <c r="D807" s="8">
        <v>2.37</v>
      </c>
      <c r="E807" s="4">
        <v>15</v>
      </c>
      <c r="F807" s="8">
        <v>3.19</v>
      </c>
      <c r="G807" s="4">
        <v>14</v>
      </c>
      <c r="H807" s="8">
        <v>1.89</v>
      </c>
      <c r="I807" s="4">
        <v>0</v>
      </c>
    </row>
    <row r="808" spans="1:9" x14ac:dyDescent="0.2">
      <c r="A808" s="2">
        <v>7</v>
      </c>
      <c r="B808" s="1" t="s">
        <v>163</v>
      </c>
      <c r="C808" s="4">
        <v>27</v>
      </c>
      <c r="D808" s="8">
        <v>2.2000000000000002</v>
      </c>
      <c r="E808" s="4">
        <v>22</v>
      </c>
      <c r="F808" s="8">
        <v>4.68</v>
      </c>
      <c r="G808" s="4">
        <v>5</v>
      </c>
      <c r="H808" s="8">
        <v>0.67</v>
      </c>
      <c r="I808" s="4">
        <v>0</v>
      </c>
    </row>
    <row r="809" spans="1:9" x14ac:dyDescent="0.2">
      <c r="A809" s="2">
        <v>8</v>
      </c>
      <c r="B809" s="1" t="s">
        <v>155</v>
      </c>
      <c r="C809" s="4">
        <v>26</v>
      </c>
      <c r="D809" s="8">
        <v>2.12</v>
      </c>
      <c r="E809" s="4">
        <v>12</v>
      </c>
      <c r="F809" s="8">
        <v>2.5499999999999998</v>
      </c>
      <c r="G809" s="4">
        <v>14</v>
      </c>
      <c r="H809" s="8">
        <v>1.89</v>
      </c>
      <c r="I809" s="4">
        <v>0</v>
      </c>
    </row>
    <row r="810" spans="1:9" x14ac:dyDescent="0.2">
      <c r="A810" s="2">
        <v>8</v>
      </c>
      <c r="B810" s="1" t="s">
        <v>160</v>
      </c>
      <c r="C810" s="4">
        <v>26</v>
      </c>
      <c r="D810" s="8">
        <v>2.12</v>
      </c>
      <c r="E810" s="4">
        <v>8</v>
      </c>
      <c r="F810" s="8">
        <v>1.7</v>
      </c>
      <c r="G810" s="4">
        <v>17</v>
      </c>
      <c r="H810" s="8">
        <v>2.29</v>
      </c>
      <c r="I810" s="4">
        <v>0</v>
      </c>
    </row>
    <row r="811" spans="1:9" x14ac:dyDescent="0.2">
      <c r="A811" s="2">
        <v>8</v>
      </c>
      <c r="B811" s="1" t="s">
        <v>161</v>
      </c>
      <c r="C811" s="4">
        <v>26</v>
      </c>
      <c r="D811" s="8">
        <v>2.12</v>
      </c>
      <c r="E811" s="4">
        <v>19</v>
      </c>
      <c r="F811" s="8">
        <v>4.04</v>
      </c>
      <c r="G811" s="4">
        <v>7</v>
      </c>
      <c r="H811" s="8">
        <v>0.94</v>
      </c>
      <c r="I811" s="4">
        <v>0</v>
      </c>
    </row>
    <row r="812" spans="1:9" x14ac:dyDescent="0.2">
      <c r="A812" s="2">
        <v>8</v>
      </c>
      <c r="B812" s="1" t="s">
        <v>166</v>
      </c>
      <c r="C812" s="4">
        <v>26</v>
      </c>
      <c r="D812" s="8">
        <v>2.12</v>
      </c>
      <c r="E812" s="4">
        <v>22</v>
      </c>
      <c r="F812" s="8">
        <v>4.68</v>
      </c>
      <c r="G812" s="4">
        <v>4</v>
      </c>
      <c r="H812" s="8">
        <v>0.54</v>
      </c>
      <c r="I812" s="4">
        <v>0</v>
      </c>
    </row>
    <row r="813" spans="1:9" x14ac:dyDescent="0.2">
      <c r="A813" s="2">
        <v>12</v>
      </c>
      <c r="B813" s="1" t="s">
        <v>149</v>
      </c>
      <c r="C813" s="4">
        <v>25</v>
      </c>
      <c r="D813" s="8">
        <v>2.04</v>
      </c>
      <c r="E813" s="4">
        <v>10</v>
      </c>
      <c r="F813" s="8">
        <v>2.13</v>
      </c>
      <c r="G813" s="4">
        <v>15</v>
      </c>
      <c r="H813" s="8">
        <v>2.02</v>
      </c>
      <c r="I813" s="4">
        <v>0</v>
      </c>
    </row>
    <row r="814" spans="1:9" x14ac:dyDescent="0.2">
      <c r="A814" s="2">
        <v>13</v>
      </c>
      <c r="B814" s="1" t="s">
        <v>152</v>
      </c>
      <c r="C814" s="4">
        <v>22</v>
      </c>
      <c r="D814" s="8">
        <v>1.8</v>
      </c>
      <c r="E814" s="4">
        <v>6</v>
      </c>
      <c r="F814" s="8">
        <v>1.28</v>
      </c>
      <c r="G814" s="4">
        <v>16</v>
      </c>
      <c r="H814" s="8">
        <v>2.16</v>
      </c>
      <c r="I814" s="4">
        <v>0</v>
      </c>
    </row>
    <row r="815" spans="1:9" x14ac:dyDescent="0.2">
      <c r="A815" s="2">
        <v>13</v>
      </c>
      <c r="B815" s="1" t="s">
        <v>156</v>
      </c>
      <c r="C815" s="4">
        <v>22</v>
      </c>
      <c r="D815" s="8">
        <v>1.8</v>
      </c>
      <c r="E815" s="4">
        <v>7</v>
      </c>
      <c r="F815" s="8">
        <v>1.49</v>
      </c>
      <c r="G815" s="4">
        <v>15</v>
      </c>
      <c r="H815" s="8">
        <v>2.02</v>
      </c>
      <c r="I815" s="4">
        <v>0</v>
      </c>
    </row>
    <row r="816" spans="1:9" x14ac:dyDescent="0.2">
      <c r="A816" s="2">
        <v>15</v>
      </c>
      <c r="B816" s="1" t="s">
        <v>174</v>
      </c>
      <c r="C816" s="4">
        <v>20</v>
      </c>
      <c r="D816" s="8">
        <v>1.63</v>
      </c>
      <c r="E816" s="4">
        <v>6</v>
      </c>
      <c r="F816" s="8">
        <v>1.28</v>
      </c>
      <c r="G816" s="4">
        <v>14</v>
      </c>
      <c r="H816" s="8">
        <v>1.89</v>
      </c>
      <c r="I816" s="4">
        <v>0</v>
      </c>
    </row>
    <row r="817" spans="1:9" x14ac:dyDescent="0.2">
      <c r="A817" s="2">
        <v>15</v>
      </c>
      <c r="B817" s="1" t="s">
        <v>191</v>
      </c>
      <c r="C817" s="4">
        <v>20</v>
      </c>
      <c r="D817" s="8">
        <v>1.63</v>
      </c>
      <c r="E817" s="4">
        <v>4</v>
      </c>
      <c r="F817" s="8">
        <v>0.85</v>
      </c>
      <c r="G817" s="4">
        <v>16</v>
      </c>
      <c r="H817" s="8">
        <v>2.16</v>
      </c>
      <c r="I817" s="4">
        <v>0</v>
      </c>
    </row>
    <row r="818" spans="1:9" x14ac:dyDescent="0.2">
      <c r="A818" s="2">
        <v>17</v>
      </c>
      <c r="B818" s="1" t="s">
        <v>176</v>
      </c>
      <c r="C818" s="4">
        <v>17</v>
      </c>
      <c r="D818" s="8">
        <v>1.39</v>
      </c>
      <c r="E818" s="4">
        <v>5</v>
      </c>
      <c r="F818" s="8">
        <v>1.06</v>
      </c>
      <c r="G818" s="4">
        <v>12</v>
      </c>
      <c r="H818" s="8">
        <v>1.62</v>
      </c>
      <c r="I818" s="4">
        <v>0</v>
      </c>
    </row>
    <row r="819" spans="1:9" x14ac:dyDescent="0.2">
      <c r="A819" s="2">
        <v>17</v>
      </c>
      <c r="B819" s="1" t="s">
        <v>190</v>
      </c>
      <c r="C819" s="4">
        <v>17</v>
      </c>
      <c r="D819" s="8">
        <v>1.39</v>
      </c>
      <c r="E819" s="4">
        <v>16</v>
      </c>
      <c r="F819" s="8">
        <v>3.4</v>
      </c>
      <c r="G819" s="4">
        <v>1</v>
      </c>
      <c r="H819" s="8">
        <v>0.13</v>
      </c>
      <c r="I819" s="4">
        <v>0</v>
      </c>
    </row>
    <row r="820" spans="1:9" x14ac:dyDescent="0.2">
      <c r="A820" s="2">
        <v>17</v>
      </c>
      <c r="B820" s="1" t="s">
        <v>205</v>
      </c>
      <c r="C820" s="4">
        <v>17</v>
      </c>
      <c r="D820" s="8">
        <v>1.39</v>
      </c>
      <c r="E820" s="4">
        <v>1</v>
      </c>
      <c r="F820" s="8">
        <v>0.21</v>
      </c>
      <c r="G820" s="4">
        <v>16</v>
      </c>
      <c r="H820" s="8">
        <v>2.16</v>
      </c>
      <c r="I820" s="4">
        <v>0</v>
      </c>
    </row>
    <row r="821" spans="1:9" x14ac:dyDescent="0.2">
      <c r="A821" s="2">
        <v>17</v>
      </c>
      <c r="B821" s="1" t="s">
        <v>178</v>
      </c>
      <c r="C821" s="4">
        <v>17</v>
      </c>
      <c r="D821" s="8">
        <v>1.39</v>
      </c>
      <c r="E821" s="4">
        <v>1</v>
      </c>
      <c r="F821" s="8">
        <v>0.21</v>
      </c>
      <c r="G821" s="4">
        <v>16</v>
      </c>
      <c r="H821" s="8">
        <v>2.16</v>
      </c>
      <c r="I821" s="4">
        <v>0</v>
      </c>
    </row>
    <row r="822" spans="1:9" x14ac:dyDescent="0.2">
      <c r="A822" s="2">
        <v>17</v>
      </c>
      <c r="B822" s="1" t="s">
        <v>162</v>
      </c>
      <c r="C822" s="4">
        <v>17</v>
      </c>
      <c r="D822" s="8">
        <v>1.39</v>
      </c>
      <c r="E822" s="4">
        <v>14</v>
      </c>
      <c r="F822" s="8">
        <v>2.98</v>
      </c>
      <c r="G822" s="4">
        <v>3</v>
      </c>
      <c r="H822" s="8">
        <v>0.4</v>
      </c>
      <c r="I822" s="4">
        <v>0</v>
      </c>
    </row>
    <row r="823" spans="1:9" x14ac:dyDescent="0.2">
      <c r="A823" s="1"/>
      <c r="C823" s="4"/>
      <c r="D823" s="8"/>
      <c r="E823" s="4"/>
      <c r="F823" s="8"/>
      <c r="G823" s="4"/>
      <c r="H823" s="8"/>
      <c r="I823" s="4"/>
    </row>
    <row r="824" spans="1:9" x14ac:dyDescent="0.2">
      <c r="A824" s="1" t="s">
        <v>36</v>
      </c>
      <c r="C824" s="4"/>
      <c r="D824" s="8"/>
      <c r="E824" s="4"/>
      <c r="F824" s="8"/>
      <c r="G824" s="4"/>
      <c r="H824" s="8"/>
      <c r="I824" s="4"/>
    </row>
    <row r="825" spans="1:9" x14ac:dyDescent="0.2">
      <c r="A825" s="2">
        <v>1</v>
      </c>
      <c r="B825" s="1" t="s">
        <v>148</v>
      </c>
      <c r="C825" s="4">
        <v>28</v>
      </c>
      <c r="D825" s="8">
        <v>3.08</v>
      </c>
      <c r="E825" s="4">
        <v>5</v>
      </c>
      <c r="F825" s="8">
        <v>1.87</v>
      </c>
      <c r="G825" s="4">
        <v>23</v>
      </c>
      <c r="H825" s="8">
        <v>3.61</v>
      </c>
      <c r="I825" s="4">
        <v>0</v>
      </c>
    </row>
    <row r="826" spans="1:9" x14ac:dyDescent="0.2">
      <c r="A826" s="2">
        <v>2</v>
      </c>
      <c r="B826" s="1" t="s">
        <v>203</v>
      </c>
      <c r="C826" s="4">
        <v>26</v>
      </c>
      <c r="D826" s="8">
        <v>2.86</v>
      </c>
      <c r="E826" s="4">
        <v>5</v>
      </c>
      <c r="F826" s="8">
        <v>1.87</v>
      </c>
      <c r="G826" s="4">
        <v>21</v>
      </c>
      <c r="H826" s="8">
        <v>3.29</v>
      </c>
      <c r="I826" s="4">
        <v>0</v>
      </c>
    </row>
    <row r="827" spans="1:9" x14ac:dyDescent="0.2">
      <c r="A827" s="2">
        <v>2</v>
      </c>
      <c r="B827" s="1" t="s">
        <v>164</v>
      </c>
      <c r="C827" s="4">
        <v>26</v>
      </c>
      <c r="D827" s="8">
        <v>2.86</v>
      </c>
      <c r="E827" s="4">
        <v>22</v>
      </c>
      <c r="F827" s="8">
        <v>8.2100000000000009</v>
      </c>
      <c r="G827" s="4">
        <v>4</v>
      </c>
      <c r="H827" s="8">
        <v>0.63</v>
      </c>
      <c r="I827" s="4">
        <v>0</v>
      </c>
    </row>
    <row r="828" spans="1:9" x14ac:dyDescent="0.2">
      <c r="A828" s="2">
        <v>2</v>
      </c>
      <c r="B828" s="1" t="s">
        <v>165</v>
      </c>
      <c r="C828" s="4">
        <v>26</v>
      </c>
      <c r="D828" s="8">
        <v>2.86</v>
      </c>
      <c r="E828" s="4">
        <v>15</v>
      </c>
      <c r="F828" s="8">
        <v>5.6</v>
      </c>
      <c r="G828" s="4">
        <v>11</v>
      </c>
      <c r="H828" s="8">
        <v>1.72</v>
      </c>
      <c r="I828" s="4">
        <v>0</v>
      </c>
    </row>
    <row r="829" spans="1:9" x14ac:dyDescent="0.2">
      <c r="A829" s="2">
        <v>2</v>
      </c>
      <c r="B829" s="1" t="s">
        <v>167</v>
      </c>
      <c r="C829" s="4">
        <v>26</v>
      </c>
      <c r="D829" s="8">
        <v>2.86</v>
      </c>
      <c r="E829" s="4">
        <v>11</v>
      </c>
      <c r="F829" s="8">
        <v>4.0999999999999996</v>
      </c>
      <c r="G829" s="4">
        <v>15</v>
      </c>
      <c r="H829" s="8">
        <v>2.35</v>
      </c>
      <c r="I829" s="4">
        <v>0</v>
      </c>
    </row>
    <row r="830" spans="1:9" x14ac:dyDescent="0.2">
      <c r="A830" s="2">
        <v>6</v>
      </c>
      <c r="B830" s="1" t="s">
        <v>163</v>
      </c>
      <c r="C830" s="4">
        <v>24</v>
      </c>
      <c r="D830" s="8">
        <v>2.64</v>
      </c>
      <c r="E830" s="4">
        <v>23</v>
      </c>
      <c r="F830" s="8">
        <v>8.58</v>
      </c>
      <c r="G830" s="4">
        <v>1</v>
      </c>
      <c r="H830" s="8">
        <v>0.16</v>
      </c>
      <c r="I830" s="4">
        <v>0</v>
      </c>
    </row>
    <row r="831" spans="1:9" x14ac:dyDescent="0.2">
      <c r="A831" s="2">
        <v>7</v>
      </c>
      <c r="B831" s="1" t="s">
        <v>153</v>
      </c>
      <c r="C831" s="4">
        <v>21</v>
      </c>
      <c r="D831" s="8">
        <v>2.31</v>
      </c>
      <c r="E831" s="4">
        <v>2</v>
      </c>
      <c r="F831" s="8">
        <v>0.75</v>
      </c>
      <c r="G831" s="4">
        <v>19</v>
      </c>
      <c r="H831" s="8">
        <v>2.98</v>
      </c>
      <c r="I831" s="4">
        <v>0</v>
      </c>
    </row>
    <row r="832" spans="1:9" x14ac:dyDescent="0.2">
      <c r="A832" s="2">
        <v>7</v>
      </c>
      <c r="B832" s="1" t="s">
        <v>156</v>
      </c>
      <c r="C832" s="4">
        <v>21</v>
      </c>
      <c r="D832" s="8">
        <v>2.31</v>
      </c>
      <c r="E832" s="4">
        <v>5</v>
      </c>
      <c r="F832" s="8">
        <v>1.87</v>
      </c>
      <c r="G832" s="4">
        <v>16</v>
      </c>
      <c r="H832" s="8">
        <v>2.5099999999999998</v>
      </c>
      <c r="I832" s="4">
        <v>0</v>
      </c>
    </row>
    <row r="833" spans="1:9" x14ac:dyDescent="0.2">
      <c r="A833" s="2">
        <v>9</v>
      </c>
      <c r="B833" s="1" t="s">
        <v>150</v>
      </c>
      <c r="C833" s="4">
        <v>20</v>
      </c>
      <c r="D833" s="8">
        <v>2.2000000000000002</v>
      </c>
      <c r="E833" s="4">
        <v>10</v>
      </c>
      <c r="F833" s="8">
        <v>3.73</v>
      </c>
      <c r="G833" s="4">
        <v>10</v>
      </c>
      <c r="H833" s="8">
        <v>1.57</v>
      </c>
      <c r="I833" s="4">
        <v>0</v>
      </c>
    </row>
    <row r="834" spans="1:9" x14ac:dyDescent="0.2">
      <c r="A834" s="2">
        <v>10</v>
      </c>
      <c r="B834" s="1" t="s">
        <v>149</v>
      </c>
      <c r="C834" s="4">
        <v>19</v>
      </c>
      <c r="D834" s="8">
        <v>2.09</v>
      </c>
      <c r="E834" s="4">
        <v>3</v>
      </c>
      <c r="F834" s="8">
        <v>1.1200000000000001</v>
      </c>
      <c r="G834" s="4">
        <v>16</v>
      </c>
      <c r="H834" s="8">
        <v>2.5099999999999998</v>
      </c>
      <c r="I834" s="4">
        <v>0</v>
      </c>
    </row>
    <row r="835" spans="1:9" x14ac:dyDescent="0.2">
      <c r="A835" s="2">
        <v>10</v>
      </c>
      <c r="B835" s="1" t="s">
        <v>161</v>
      </c>
      <c r="C835" s="4">
        <v>19</v>
      </c>
      <c r="D835" s="8">
        <v>2.09</v>
      </c>
      <c r="E835" s="4">
        <v>13</v>
      </c>
      <c r="F835" s="8">
        <v>4.8499999999999996</v>
      </c>
      <c r="G835" s="4">
        <v>6</v>
      </c>
      <c r="H835" s="8">
        <v>0.94</v>
      </c>
      <c r="I835" s="4">
        <v>0</v>
      </c>
    </row>
    <row r="836" spans="1:9" x14ac:dyDescent="0.2">
      <c r="A836" s="2">
        <v>10</v>
      </c>
      <c r="B836" s="1" t="s">
        <v>166</v>
      </c>
      <c r="C836" s="4">
        <v>19</v>
      </c>
      <c r="D836" s="8">
        <v>2.09</v>
      </c>
      <c r="E836" s="4">
        <v>16</v>
      </c>
      <c r="F836" s="8">
        <v>5.97</v>
      </c>
      <c r="G836" s="4">
        <v>3</v>
      </c>
      <c r="H836" s="8">
        <v>0.47</v>
      </c>
      <c r="I836" s="4">
        <v>0</v>
      </c>
    </row>
    <row r="837" spans="1:9" x14ac:dyDescent="0.2">
      <c r="A837" s="2">
        <v>13</v>
      </c>
      <c r="B837" s="1" t="s">
        <v>157</v>
      </c>
      <c r="C837" s="4">
        <v>18</v>
      </c>
      <c r="D837" s="8">
        <v>1.98</v>
      </c>
      <c r="E837" s="4">
        <v>0</v>
      </c>
      <c r="F837" s="8">
        <v>0</v>
      </c>
      <c r="G837" s="4">
        <v>18</v>
      </c>
      <c r="H837" s="8">
        <v>2.82</v>
      </c>
      <c r="I837" s="4">
        <v>0</v>
      </c>
    </row>
    <row r="838" spans="1:9" x14ac:dyDescent="0.2">
      <c r="A838" s="2">
        <v>14</v>
      </c>
      <c r="B838" s="1" t="s">
        <v>155</v>
      </c>
      <c r="C838" s="4">
        <v>16</v>
      </c>
      <c r="D838" s="8">
        <v>1.76</v>
      </c>
      <c r="E838" s="4">
        <v>4</v>
      </c>
      <c r="F838" s="8">
        <v>1.49</v>
      </c>
      <c r="G838" s="4">
        <v>12</v>
      </c>
      <c r="H838" s="8">
        <v>1.88</v>
      </c>
      <c r="I838" s="4">
        <v>0</v>
      </c>
    </row>
    <row r="839" spans="1:9" x14ac:dyDescent="0.2">
      <c r="A839" s="2">
        <v>14</v>
      </c>
      <c r="B839" s="1" t="s">
        <v>162</v>
      </c>
      <c r="C839" s="4">
        <v>16</v>
      </c>
      <c r="D839" s="8">
        <v>1.76</v>
      </c>
      <c r="E839" s="4">
        <v>16</v>
      </c>
      <c r="F839" s="8">
        <v>5.97</v>
      </c>
      <c r="G839" s="4">
        <v>0</v>
      </c>
      <c r="H839" s="8">
        <v>0</v>
      </c>
      <c r="I839" s="4">
        <v>0</v>
      </c>
    </row>
    <row r="840" spans="1:9" x14ac:dyDescent="0.2">
      <c r="A840" s="2">
        <v>16</v>
      </c>
      <c r="B840" s="1" t="s">
        <v>158</v>
      </c>
      <c r="C840" s="4">
        <v>14</v>
      </c>
      <c r="D840" s="8">
        <v>1.54</v>
      </c>
      <c r="E840" s="4">
        <v>0</v>
      </c>
      <c r="F840" s="8">
        <v>0</v>
      </c>
      <c r="G840" s="4">
        <v>14</v>
      </c>
      <c r="H840" s="8">
        <v>2.19</v>
      </c>
      <c r="I840" s="4">
        <v>0</v>
      </c>
    </row>
    <row r="841" spans="1:9" x14ac:dyDescent="0.2">
      <c r="A841" s="2">
        <v>17</v>
      </c>
      <c r="B841" s="1" t="s">
        <v>151</v>
      </c>
      <c r="C841" s="4">
        <v>13</v>
      </c>
      <c r="D841" s="8">
        <v>1.43</v>
      </c>
      <c r="E841" s="4">
        <v>1</v>
      </c>
      <c r="F841" s="8">
        <v>0.37</v>
      </c>
      <c r="G841" s="4">
        <v>12</v>
      </c>
      <c r="H841" s="8">
        <v>1.88</v>
      </c>
      <c r="I841" s="4">
        <v>0</v>
      </c>
    </row>
    <row r="842" spans="1:9" x14ac:dyDescent="0.2">
      <c r="A842" s="2">
        <v>18</v>
      </c>
      <c r="B842" s="1" t="s">
        <v>152</v>
      </c>
      <c r="C842" s="4">
        <v>12</v>
      </c>
      <c r="D842" s="8">
        <v>1.32</v>
      </c>
      <c r="E842" s="4">
        <v>2</v>
      </c>
      <c r="F842" s="8">
        <v>0.75</v>
      </c>
      <c r="G842" s="4">
        <v>10</v>
      </c>
      <c r="H842" s="8">
        <v>1.57</v>
      </c>
      <c r="I842" s="4">
        <v>0</v>
      </c>
    </row>
    <row r="843" spans="1:9" x14ac:dyDescent="0.2">
      <c r="A843" s="2">
        <v>19</v>
      </c>
      <c r="B843" s="1" t="s">
        <v>197</v>
      </c>
      <c r="C843" s="4">
        <v>11</v>
      </c>
      <c r="D843" s="8">
        <v>1.21</v>
      </c>
      <c r="E843" s="4">
        <v>5</v>
      </c>
      <c r="F843" s="8">
        <v>1.87</v>
      </c>
      <c r="G843" s="4">
        <v>6</v>
      </c>
      <c r="H843" s="8">
        <v>0.94</v>
      </c>
      <c r="I843" s="4">
        <v>0</v>
      </c>
    </row>
    <row r="844" spans="1:9" x14ac:dyDescent="0.2">
      <c r="A844" s="2">
        <v>19</v>
      </c>
      <c r="B844" s="1" t="s">
        <v>154</v>
      </c>
      <c r="C844" s="4">
        <v>11</v>
      </c>
      <c r="D844" s="8">
        <v>1.21</v>
      </c>
      <c r="E844" s="4">
        <v>3</v>
      </c>
      <c r="F844" s="8">
        <v>1.1200000000000001</v>
      </c>
      <c r="G844" s="4">
        <v>8</v>
      </c>
      <c r="H844" s="8">
        <v>1.25</v>
      </c>
      <c r="I844" s="4">
        <v>0</v>
      </c>
    </row>
    <row r="845" spans="1:9" x14ac:dyDescent="0.2">
      <c r="A845" s="2">
        <v>19</v>
      </c>
      <c r="B845" s="1" t="s">
        <v>160</v>
      </c>
      <c r="C845" s="4">
        <v>11</v>
      </c>
      <c r="D845" s="8">
        <v>1.21</v>
      </c>
      <c r="E845" s="4">
        <v>2</v>
      </c>
      <c r="F845" s="8">
        <v>0.75</v>
      </c>
      <c r="G845" s="4">
        <v>9</v>
      </c>
      <c r="H845" s="8">
        <v>1.41</v>
      </c>
      <c r="I845" s="4">
        <v>0</v>
      </c>
    </row>
    <row r="846" spans="1:9" x14ac:dyDescent="0.2">
      <c r="A846" s="2">
        <v>19</v>
      </c>
      <c r="B846" s="1" t="s">
        <v>180</v>
      </c>
      <c r="C846" s="4">
        <v>11</v>
      </c>
      <c r="D846" s="8">
        <v>1.21</v>
      </c>
      <c r="E846" s="4">
        <v>2</v>
      </c>
      <c r="F846" s="8">
        <v>0.75</v>
      </c>
      <c r="G846" s="4">
        <v>9</v>
      </c>
      <c r="H846" s="8">
        <v>1.41</v>
      </c>
      <c r="I846" s="4">
        <v>0</v>
      </c>
    </row>
    <row r="847" spans="1:9" x14ac:dyDescent="0.2">
      <c r="A847" s="1"/>
      <c r="C847" s="4"/>
      <c r="D847" s="8"/>
      <c r="E847" s="4"/>
      <c r="F847" s="8"/>
      <c r="G847" s="4"/>
      <c r="H847" s="8"/>
      <c r="I847" s="4"/>
    </row>
    <row r="848" spans="1:9" x14ac:dyDescent="0.2">
      <c r="A848" s="1" t="s">
        <v>37</v>
      </c>
      <c r="C848" s="4"/>
      <c r="D848" s="8"/>
      <c r="E848" s="4"/>
      <c r="F848" s="8"/>
      <c r="G848" s="4"/>
      <c r="H848" s="8"/>
      <c r="I848" s="4"/>
    </row>
    <row r="849" spans="1:9" x14ac:dyDescent="0.2">
      <c r="A849" s="2">
        <v>1</v>
      </c>
      <c r="B849" s="1" t="s">
        <v>164</v>
      </c>
      <c r="C849" s="4">
        <v>48</v>
      </c>
      <c r="D849" s="8">
        <v>5.59</v>
      </c>
      <c r="E849" s="4">
        <v>46</v>
      </c>
      <c r="F849" s="8">
        <v>12.27</v>
      </c>
      <c r="G849" s="4">
        <v>2</v>
      </c>
      <c r="H849" s="8">
        <v>0.42</v>
      </c>
      <c r="I849" s="4">
        <v>0</v>
      </c>
    </row>
    <row r="850" spans="1:9" x14ac:dyDescent="0.2">
      <c r="A850" s="2">
        <v>2</v>
      </c>
      <c r="B850" s="1" t="s">
        <v>158</v>
      </c>
      <c r="C850" s="4">
        <v>41</v>
      </c>
      <c r="D850" s="8">
        <v>4.7699999999999996</v>
      </c>
      <c r="E850" s="4">
        <v>21</v>
      </c>
      <c r="F850" s="8">
        <v>5.6</v>
      </c>
      <c r="G850" s="4">
        <v>20</v>
      </c>
      <c r="H850" s="8">
        <v>4.18</v>
      </c>
      <c r="I850" s="4">
        <v>0</v>
      </c>
    </row>
    <row r="851" spans="1:9" x14ac:dyDescent="0.2">
      <c r="A851" s="2">
        <v>3</v>
      </c>
      <c r="B851" s="1" t="s">
        <v>163</v>
      </c>
      <c r="C851" s="4">
        <v>33</v>
      </c>
      <c r="D851" s="8">
        <v>3.84</v>
      </c>
      <c r="E851" s="4">
        <v>30</v>
      </c>
      <c r="F851" s="8">
        <v>8</v>
      </c>
      <c r="G851" s="4">
        <v>3</v>
      </c>
      <c r="H851" s="8">
        <v>0.63</v>
      </c>
      <c r="I851" s="4">
        <v>0</v>
      </c>
    </row>
    <row r="852" spans="1:9" x14ac:dyDescent="0.2">
      <c r="A852" s="2">
        <v>4</v>
      </c>
      <c r="B852" s="1" t="s">
        <v>161</v>
      </c>
      <c r="C852" s="4">
        <v>29</v>
      </c>
      <c r="D852" s="8">
        <v>3.38</v>
      </c>
      <c r="E852" s="4">
        <v>22</v>
      </c>
      <c r="F852" s="8">
        <v>5.87</v>
      </c>
      <c r="G852" s="4">
        <v>7</v>
      </c>
      <c r="H852" s="8">
        <v>1.46</v>
      </c>
      <c r="I852" s="4">
        <v>0</v>
      </c>
    </row>
    <row r="853" spans="1:9" x14ac:dyDescent="0.2">
      <c r="A853" s="2">
        <v>5</v>
      </c>
      <c r="B853" s="1" t="s">
        <v>162</v>
      </c>
      <c r="C853" s="4">
        <v>28</v>
      </c>
      <c r="D853" s="8">
        <v>3.26</v>
      </c>
      <c r="E853" s="4">
        <v>26</v>
      </c>
      <c r="F853" s="8">
        <v>6.93</v>
      </c>
      <c r="G853" s="4">
        <v>2</v>
      </c>
      <c r="H853" s="8">
        <v>0.42</v>
      </c>
      <c r="I853" s="4">
        <v>0</v>
      </c>
    </row>
    <row r="854" spans="1:9" x14ac:dyDescent="0.2">
      <c r="A854" s="2">
        <v>6</v>
      </c>
      <c r="B854" s="1" t="s">
        <v>155</v>
      </c>
      <c r="C854" s="4">
        <v>24</v>
      </c>
      <c r="D854" s="8">
        <v>2.79</v>
      </c>
      <c r="E854" s="4">
        <v>10</v>
      </c>
      <c r="F854" s="8">
        <v>2.67</v>
      </c>
      <c r="G854" s="4">
        <v>14</v>
      </c>
      <c r="H854" s="8">
        <v>2.93</v>
      </c>
      <c r="I854" s="4">
        <v>0</v>
      </c>
    </row>
    <row r="855" spans="1:9" x14ac:dyDescent="0.2">
      <c r="A855" s="2">
        <v>7</v>
      </c>
      <c r="B855" s="1" t="s">
        <v>150</v>
      </c>
      <c r="C855" s="4">
        <v>23</v>
      </c>
      <c r="D855" s="8">
        <v>2.68</v>
      </c>
      <c r="E855" s="4">
        <v>5</v>
      </c>
      <c r="F855" s="8">
        <v>1.33</v>
      </c>
      <c r="G855" s="4">
        <v>18</v>
      </c>
      <c r="H855" s="8">
        <v>3.77</v>
      </c>
      <c r="I855" s="4">
        <v>0</v>
      </c>
    </row>
    <row r="856" spans="1:9" x14ac:dyDescent="0.2">
      <c r="A856" s="2">
        <v>7</v>
      </c>
      <c r="B856" s="1" t="s">
        <v>166</v>
      </c>
      <c r="C856" s="4">
        <v>23</v>
      </c>
      <c r="D856" s="8">
        <v>2.68</v>
      </c>
      <c r="E856" s="4">
        <v>18</v>
      </c>
      <c r="F856" s="8">
        <v>4.8</v>
      </c>
      <c r="G856" s="4">
        <v>5</v>
      </c>
      <c r="H856" s="8">
        <v>1.05</v>
      </c>
      <c r="I856" s="4">
        <v>0</v>
      </c>
    </row>
    <row r="857" spans="1:9" x14ac:dyDescent="0.2">
      <c r="A857" s="2">
        <v>9</v>
      </c>
      <c r="B857" s="1" t="s">
        <v>148</v>
      </c>
      <c r="C857" s="4">
        <v>17</v>
      </c>
      <c r="D857" s="8">
        <v>1.98</v>
      </c>
      <c r="E857" s="4">
        <v>3</v>
      </c>
      <c r="F857" s="8">
        <v>0.8</v>
      </c>
      <c r="G857" s="4">
        <v>14</v>
      </c>
      <c r="H857" s="8">
        <v>2.93</v>
      </c>
      <c r="I857" s="4">
        <v>0</v>
      </c>
    </row>
    <row r="858" spans="1:9" x14ac:dyDescent="0.2">
      <c r="A858" s="2">
        <v>9</v>
      </c>
      <c r="B858" s="1" t="s">
        <v>153</v>
      </c>
      <c r="C858" s="4">
        <v>17</v>
      </c>
      <c r="D858" s="8">
        <v>1.98</v>
      </c>
      <c r="E858" s="4">
        <v>3</v>
      </c>
      <c r="F858" s="8">
        <v>0.8</v>
      </c>
      <c r="G858" s="4">
        <v>14</v>
      </c>
      <c r="H858" s="8">
        <v>2.93</v>
      </c>
      <c r="I858" s="4">
        <v>0</v>
      </c>
    </row>
    <row r="859" spans="1:9" x14ac:dyDescent="0.2">
      <c r="A859" s="2">
        <v>9</v>
      </c>
      <c r="B859" s="1" t="s">
        <v>167</v>
      </c>
      <c r="C859" s="4">
        <v>17</v>
      </c>
      <c r="D859" s="8">
        <v>1.98</v>
      </c>
      <c r="E859" s="4">
        <v>13</v>
      </c>
      <c r="F859" s="8">
        <v>3.47</v>
      </c>
      <c r="G859" s="4">
        <v>4</v>
      </c>
      <c r="H859" s="8">
        <v>0.84</v>
      </c>
      <c r="I859" s="4">
        <v>0</v>
      </c>
    </row>
    <row r="860" spans="1:9" x14ac:dyDescent="0.2">
      <c r="A860" s="2">
        <v>12</v>
      </c>
      <c r="B860" s="1" t="s">
        <v>149</v>
      </c>
      <c r="C860" s="4">
        <v>16</v>
      </c>
      <c r="D860" s="8">
        <v>1.86</v>
      </c>
      <c r="E860" s="4">
        <v>1</v>
      </c>
      <c r="F860" s="8">
        <v>0.27</v>
      </c>
      <c r="G860" s="4">
        <v>15</v>
      </c>
      <c r="H860" s="8">
        <v>3.14</v>
      </c>
      <c r="I860" s="4">
        <v>0</v>
      </c>
    </row>
    <row r="861" spans="1:9" x14ac:dyDescent="0.2">
      <c r="A861" s="2">
        <v>12</v>
      </c>
      <c r="B861" s="1" t="s">
        <v>152</v>
      </c>
      <c r="C861" s="4">
        <v>16</v>
      </c>
      <c r="D861" s="8">
        <v>1.86</v>
      </c>
      <c r="E861" s="4">
        <v>2</v>
      </c>
      <c r="F861" s="8">
        <v>0.53</v>
      </c>
      <c r="G861" s="4">
        <v>14</v>
      </c>
      <c r="H861" s="8">
        <v>2.93</v>
      </c>
      <c r="I861" s="4">
        <v>0</v>
      </c>
    </row>
    <row r="862" spans="1:9" x14ac:dyDescent="0.2">
      <c r="A862" s="2">
        <v>12</v>
      </c>
      <c r="B862" s="1" t="s">
        <v>157</v>
      </c>
      <c r="C862" s="4">
        <v>16</v>
      </c>
      <c r="D862" s="8">
        <v>1.86</v>
      </c>
      <c r="E862" s="4">
        <v>4</v>
      </c>
      <c r="F862" s="8">
        <v>1.07</v>
      </c>
      <c r="G862" s="4">
        <v>12</v>
      </c>
      <c r="H862" s="8">
        <v>2.5099999999999998</v>
      </c>
      <c r="I862" s="4">
        <v>0</v>
      </c>
    </row>
    <row r="863" spans="1:9" x14ac:dyDescent="0.2">
      <c r="A863" s="2">
        <v>15</v>
      </c>
      <c r="B863" s="1" t="s">
        <v>204</v>
      </c>
      <c r="C863" s="4">
        <v>14</v>
      </c>
      <c r="D863" s="8">
        <v>1.63</v>
      </c>
      <c r="E863" s="4">
        <v>7</v>
      </c>
      <c r="F863" s="8">
        <v>1.87</v>
      </c>
      <c r="G863" s="4">
        <v>7</v>
      </c>
      <c r="H863" s="8">
        <v>1.46</v>
      </c>
      <c r="I863" s="4">
        <v>0</v>
      </c>
    </row>
    <row r="864" spans="1:9" x14ac:dyDescent="0.2">
      <c r="A864" s="2">
        <v>16</v>
      </c>
      <c r="B864" s="1" t="s">
        <v>171</v>
      </c>
      <c r="C864" s="4">
        <v>13</v>
      </c>
      <c r="D864" s="8">
        <v>1.51</v>
      </c>
      <c r="E864" s="4">
        <v>0</v>
      </c>
      <c r="F864" s="8">
        <v>0</v>
      </c>
      <c r="G864" s="4">
        <v>13</v>
      </c>
      <c r="H864" s="8">
        <v>2.72</v>
      </c>
      <c r="I864" s="4">
        <v>0</v>
      </c>
    </row>
    <row r="865" spans="1:9" x14ac:dyDescent="0.2">
      <c r="A865" s="2">
        <v>16</v>
      </c>
      <c r="B865" s="1" t="s">
        <v>165</v>
      </c>
      <c r="C865" s="4">
        <v>13</v>
      </c>
      <c r="D865" s="8">
        <v>1.51</v>
      </c>
      <c r="E865" s="4">
        <v>11</v>
      </c>
      <c r="F865" s="8">
        <v>2.93</v>
      </c>
      <c r="G865" s="4">
        <v>2</v>
      </c>
      <c r="H865" s="8">
        <v>0.42</v>
      </c>
      <c r="I865" s="4">
        <v>0</v>
      </c>
    </row>
    <row r="866" spans="1:9" x14ac:dyDescent="0.2">
      <c r="A866" s="2">
        <v>16</v>
      </c>
      <c r="B866" s="1" t="s">
        <v>170</v>
      </c>
      <c r="C866" s="4">
        <v>13</v>
      </c>
      <c r="D866" s="8">
        <v>1.51</v>
      </c>
      <c r="E866" s="4">
        <v>11</v>
      </c>
      <c r="F866" s="8">
        <v>2.93</v>
      </c>
      <c r="G866" s="4">
        <v>2</v>
      </c>
      <c r="H866" s="8">
        <v>0.42</v>
      </c>
      <c r="I866" s="4">
        <v>0</v>
      </c>
    </row>
    <row r="867" spans="1:9" x14ac:dyDescent="0.2">
      <c r="A867" s="2">
        <v>19</v>
      </c>
      <c r="B867" s="1" t="s">
        <v>151</v>
      </c>
      <c r="C867" s="4">
        <v>12</v>
      </c>
      <c r="D867" s="8">
        <v>1.4</v>
      </c>
      <c r="E867" s="4">
        <v>1</v>
      </c>
      <c r="F867" s="8">
        <v>0.27</v>
      </c>
      <c r="G867" s="4">
        <v>11</v>
      </c>
      <c r="H867" s="8">
        <v>2.2999999999999998</v>
      </c>
      <c r="I867" s="4">
        <v>0</v>
      </c>
    </row>
    <row r="868" spans="1:9" x14ac:dyDescent="0.2">
      <c r="A868" s="2">
        <v>20</v>
      </c>
      <c r="B868" s="1" t="s">
        <v>156</v>
      </c>
      <c r="C868" s="4">
        <v>11</v>
      </c>
      <c r="D868" s="8">
        <v>1.28</v>
      </c>
      <c r="E868" s="4">
        <v>5</v>
      </c>
      <c r="F868" s="8">
        <v>1.33</v>
      </c>
      <c r="G868" s="4">
        <v>6</v>
      </c>
      <c r="H868" s="8">
        <v>1.26</v>
      </c>
      <c r="I868" s="4">
        <v>0</v>
      </c>
    </row>
    <row r="869" spans="1:9" x14ac:dyDescent="0.2">
      <c r="A869" s="1"/>
      <c r="C869" s="4"/>
      <c r="D869" s="8"/>
      <c r="E869" s="4"/>
      <c r="F869" s="8"/>
      <c r="G869" s="4"/>
      <c r="H869" s="8"/>
      <c r="I869" s="4"/>
    </row>
    <row r="870" spans="1:9" x14ac:dyDescent="0.2">
      <c r="A870" s="1" t="s">
        <v>38</v>
      </c>
      <c r="C870" s="4"/>
      <c r="D870" s="8"/>
      <c r="E870" s="4"/>
      <c r="F870" s="8"/>
      <c r="G870" s="4"/>
      <c r="H870" s="8"/>
      <c r="I870" s="4"/>
    </row>
    <row r="871" spans="1:9" x14ac:dyDescent="0.2">
      <c r="A871" s="2">
        <v>1</v>
      </c>
      <c r="B871" s="1" t="s">
        <v>194</v>
      </c>
      <c r="C871" s="4">
        <v>71</v>
      </c>
      <c r="D871" s="8">
        <v>5.95</v>
      </c>
      <c r="E871" s="4">
        <v>59</v>
      </c>
      <c r="F871" s="8">
        <v>7.51</v>
      </c>
      <c r="G871" s="4">
        <v>12</v>
      </c>
      <c r="H871" s="8">
        <v>3</v>
      </c>
      <c r="I871" s="4">
        <v>0</v>
      </c>
    </row>
    <row r="872" spans="1:9" x14ac:dyDescent="0.2">
      <c r="A872" s="2">
        <v>2</v>
      </c>
      <c r="B872" s="1" t="s">
        <v>150</v>
      </c>
      <c r="C872" s="4">
        <v>66</v>
      </c>
      <c r="D872" s="8">
        <v>5.53</v>
      </c>
      <c r="E872" s="4">
        <v>50</v>
      </c>
      <c r="F872" s="8">
        <v>6.36</v>
      </c>
      <c r="G872" s="4">
        <v>16</v>
      </c>
      <c r="H872" s="8">
        <v>4</v>
      </c>
      <c r="I872" s="4">
        <v>0</v>
      </c>
    </row>
    <row r="873" spans="1:9" x14ac:dyDescent="0.2">
      <c r="A873" s="2">
        <v>3</v>
      </c>
      <c r="B873" s="1" t="s">
        <v>164</v>
      </c>
      <c r="C873" s="4">
        <v>63</v>
      </c>
      <c r="D873" s="8">
        <v>5.28</v>
      </c>
      <c r="E873" s="4">
        <v>61</v>
      </c>
      <c r="F873" s="8">
        <v>7.76</v>
      </c>
      <c r="G873" s="4">
        <v>2</v>
      </c>
      <c r="H873" s="8">
        <v>0.5</v>
      </c>
      <c r="I873" s="4">
        <v>0</v>
      </c>
    </row>
    <row r="874" spans="1:9" x14ac:dyDescent="0.2">
      <c r="A874" s="2">
        <v>4</v>
      </c>
      <c r="B874" s="1" t="s">
        <v>163</v>
      </c>
      <c r="C874" s="4">
        <v>51</v>
      </c>
      <c r="D874" s="8">
        <v>4.2699999999999996</v>
      </c>
      <c r="E874" s="4">
        <v>51</v>
      </c>
      <c r="F874" s="8">
        <v>6.49</v>
      </c>
      <c r="G874" s="4">
        <v>0</v>
      </c>
      <c r="H874" s="8">
        <v>0</v>
      </c>
      <c r="I874" s="4">
        <v>0</v>
      </c>
    </row>
    <row r="875" spans="1:9" x14ac:dyDescent="0.2">
      <c r="A875" s="2">
        <v>5</v>
      </c>
      <c r="B875" s="1" t="s">
        <v>161</v>
      </c>
      <c r="C875" s="4">
        <v>37</v>
      </c>
      <c r="D875" s="8">
        <v>3.1</v>
      </c>
      <c r="E875" s="4">
        <v>31</v>
      </c>
      <c r="F875" s="8">
        <v>3.94</v>
      </c>
      <c r="G875" s="4">
        <v>6</v>
      </c>
      <c r="H875" s="8">
        <v>1.5</v>
      </c>
      <c r="I875" s="4">
        <v>0</v>
      </c>
    </row>
    <row r="876" spans="1:9" x14ac:dyDescent="0.2">
      <c r="A876" s="2">
        <v>6</v>
      </c>
      <c r="B876" s="1" t="s">
        <v>154</v>
      </c>
      <c r="C876" s="4">
        <v>33</v>
      </c>
      <c r="D876" s="8">
        <v>2.76</v>
      </c>
      <c r="E876" s="4">
        <v>25</v>
      </c>
      <c r="F876" s="8">
        <v>3.18</v>
      </c>
      <c r="G876" s="4">
        <v>8</v>
      </c>
      <c r="H876" s="8">
        <v>2</v>
      </c>
      <c r="I876" s="4">
        <v>0</v>
      </c>
    </row>
    <row r="877" spans="1:9" x14ac:dyDescent="0.2">
      <c r="A877" s="2">
        <v>7</v>
      </c>
      <c r="B877" s="1" t="s">
        <v>158</v>
      </c>
      <c r="C877" s="4">
        <v>29</v>
      </c>
      <c r="D877" s="8">
        <v>2.4300000000000002</v>
      </c>
      <c r="E877" s="4">
        <v>18</v>
      </c>
      <c r="F877" s="8">
        <v>2.29</v>
      </c>
      <c r="G877" s="4">
        <v>10</v>
      </c>
      <c r="H877" s="8">
        <v>2.5</v>
      </c>
      <c r="I877" s="4">
        <v>0</v>
      </c>
    </row>
    <row r="878" spans="1:9" x14ac:dyDescent="0.2">
      <c r="A878" s="2">
        <v>8</v>
      </c>
      <c r="B878" s="1" t="s">
        <v>190</v>
      </c>
      <c r="C878" s="4">
        <v>27</v>
      </c>
      <c r="D878" s="8">
        <v>2.2599999999999998</v>
      </c>
      <c r="E878" s="4">
        <v>22</v>
      </c>
      <c r="F878" s="8">
        <v>2.8</v>
      </c>
      <c r="G878" s="4">
        <v>5</v>
      </c>
      <c r="H878" s="8">
        <v>1.25</v>
      </c>
      <c r="I878" s="4">
        <v>0</v>
      </c>
    </row>
    <row r="879" spans="1:9" x14ac:dyDescent="0.2">
      <c r="A879" s="2">
        <v>9</v>
      </c>
      <c r="B879" s="1" t="s">
        <v>148</v>
      </c>
      <c r="C879" s="4">
        <v>22</v>
      </c>
      <c r="D879" s="8">
        <v>1.84</v>
      </c>
      <c r="E879" s="4">
        <v>5</v>
      </c>
      <c r="F879" s="8">
        <v>0.64</v>
      </c>
      <c r="G879" s="4">
        <v>17</v>
      </c>
      <c r="H879" s="8">
        <v>4.25</v>
      </c>
      <c r="I879" s="4">
        <v>0</v>
      </c>
    </row>
    <row r="880" spans="1:9" x14ac:dyDescent="0.2">
      <c r="A880" s="2">
        <v>9</v>
      </c>
      <c r="B880" s="1" t="s">
        <v>167</v>
      </c>
      <c r="C880" s="4">
        <v>22</v>
      </c>
      <c r="D880" s="8">
        <v>1.84</v>
      </c>
      <c r="E880" s="4">
        <v>17</v>
      </c>
      <c r="F880" s="8">
        <v>2.16</v>
      </c>
      <c r="G880" s="4">
        <v>5</v>
      </c>
      <c r="H880" s="8">
        <v>1.25</v>
      </c>
      <c r="I880" s="4">
        <v>0</v>
      </c>
    </row>
    <row r="881" spans="1:9" x14ac:dyDescent="0.2">
      <c r="A881" s="2">
        <v>11</v>
      </c>
      <c r="B881" s="1" t="s">
        <v>191</v>
      </c>
      <c r="C881" s="4">
        <v>20</v>
      </c>
      <c r="D881" s="8">
        <v>1.68</v>
      </c>
      <c r="E881" s="4">
        <v>3</v>
      </c>
      <c r="F881" s="8">
        <v>0.38</v>
      </c>
      <c r="G881" s="4">
        <v>17</v>
      </c>
      <c r="H881" s="8">
        <v>4.25</v>
      </c>
      <c r="I881" s="4">
        <v>0</v>
      </c>
    </row>
    <row r="882" spans="1:9" x14ac:dyDescent="0.2">
      <c r="A882" s="2">
        <v>11</v>
      </c>
      <c r="B882" s="1" t="s">
        <v>192</v>
      </c>
      <c r="C882" s="4">
        <v>20</v>
      </c>
      <c r="D882" s="8">
        <v>1.68</v>
      </c>
      <c r="E882" s="4">
        <v>18</v>
      </c>
      <c r="F882" s="8">
        <v>2.29</v>
      </c>
      <c r="G882" s="4">
        <v>2</v>
      </c>
      <c r="H882" s="8">
        <v>0.5</v>
      </c>
      <c r="I882" s="4">
        <v>0</v>
      </c>
    </row>
    <row r="883" spans="1:9" x14ac:dyDescent="0.2">
      <c r="A883" s="2">
        <v>11</v>
      </c>
      <c r="B883" s="1" t="s">
        <v>195</v>
      </c>
      <c r="C883" s="4">
        <v>20</v>
      </c>
      <c r="D883" s="8">
        <v>1.68</v>
      </c>
      <c r="E883" s="4">
        <v>17</v>
      </c>
      <c r="F883" s="8">
        <v>2.16</v>
      </c>
      <c r="G883" s="4">
        <v>3</v>
      </c>
      <c r="H883" s="8">
        <v>0.75</v>
      </c>
      <c r="I883" s="4">
        <v>0</v>
      </c>
    </row>
    <row r="884" spans="1:9" x14ac:dyDescent="0.2">
      <c r="A884" s="2">
        <v>14</v>
      </c>
      <c r="B884" s="1" t="s">
        <v>153</v>
      </c>
      <c r="C884" s="4">
        <v>19</v>
      </c>
      <c r="D884" s="8">
        <v>1.59</v>
      </c>
      <c r="E884" s="4">
        <v>10</v>
      </c>
      <c r="F884" s="8">
        <v>1.27</v>
      </c>
      <c r="G884" s="4">
        <v>9</v>
      </c>
      <c r="H884" s="8">
        <v>2.25</v>
      </c>
      <c r="I884" s="4">
        <v>0</v>
      </c>
    </row>
    <row r="885" spans="1:9" x14ac:dyDescent="0.2">
      <c r="A885" s="2">
        <v>14</v>
      </c>
      <c r="B885" s="1" t="s">
        <v>183</v>
      </c>
      <c r="C885" s="4">
        <v>19</v>
      </c>
      <c r="D885" s="8">
        <v>1.59</v>
      </c>
      <c r="E885" s="4">
        <v>7</v>
      </c>
      <c r="F885" s="8">
        <v>0.89</v>
      </c>
      <c r="G885" s="4">
        <v>12</v>
      </c>
      <c r="H885" s="8">
        <v>3</v>
      </c>
      <c r="I885" s="4">
        <v>0</v>
      </c>
    </row>
    <row r="886" spans="1:9" x14ac:dyDescent="0.2">
      <c r="A886" s="2">
        <v>14</v>
      </c>
      <c r="B886" s="1" t="s">
        <v>162</v>
      </c>
      <c r="C886" s="4">
        <v>19</v>
      </c>
      <c r="D886" s="8">
        <v>1.59</v>
      </c>
      <c r="E886" s="4">
        <v>19</v>
      </c>
      <c r="F886" s="8">
        <v>2.42</v>
      </c>
      <c r="G886" s="4">
        <v>0</v>
      </c>
      <c r="H886" s="8">
        <v>0</v>
      </c>
      <c r="I886" s="4">
        <v>0</v>
      </c>
    </row>
    <row r="887" spans="1:9" x14ac:dyDescent="0.2">
      <c r="A887" s="2">
        <v>17</v>
      </c>
      <c r="B887" s="1" t="s">
        <v>156</v>
      </c>
      <c r="C887" s="4">
        <v>18</v>
      </c>
      <c r="D887" s="8">
        <v>1.51</v>
      </c>
      <c r="E887" s="4">
        <v>14</v>
      </c>
      <c r="F887" s="8">
        <v>1.78</v>
      </c>
      <c r="G887" s="4">
        <v>4</v>
      </c>
      <c r="H887" s="8">
        <v>1</v>
      </c>
      <c r="I887" s="4">
        <v>0</v>
      </c>
    </row>
    <row r="888" spans="1:9" x14ac:dyDescent="0.2">
      <c r="A888" s="2">
        <v>18</v>
      </c>
      <c r="B888" s="1" t="s">
        <v>149</v>
      </c>
      <c r="C888" s="4">
        <v>17</v>
      </c>
      <c r="D888" s="8">
        <v>1.42</v>
      </c>
      <c r="E888" s="4">
        <v>4</v>
      </c>
      <c r="F888" s="8">
        <v>0.51</v>
      </c>
      <c r="G888" s="4">
        <v>13</v>
      </c>
      <c r="H888" s="8">
        <v>3.25</v>
      </c>
      <c r="I888" s="4">
        <v>0</v>
      </c>
    </row>
    <row r="889" spans="1:9" x14ac:dyDescent="0.2">
      <c r="A889" s="2">
        <v>18</v>
      </c>
      <c r="B889" s="1" t="s">
        <v>209</v>
      </c>
      <c r="C889" s="4">
        <v>17</v>
      </c>
      <c r="D889" s="8">
        <v>1.42</v>
      </c>
      <c r="E889" s="4">
        <v>15</v>
      </c>
      <c r="F889" s="8">
        <v>1.91</v>
      </c>
      <c r="G889" s="4">
        <v>2</v>
      </c>
      <c r="H889" s="8">
        <v>0.5</v>
      </c>
      <c r="I889" s="4">
        <v>0</v>
      </c>
    </row>
    <row r="890" spans="1:9" x14ac:dyDescent="0.2">
      <c r="A890" s="2">
        <v>20</v>
      </c>
      <c r="B890" s="1" t="s">
        <v>198</v>
      </c>
      <c r="C890" s="4">
        <v>16</v>
      </c>
      <c r="D890" s="8">
        <v>1.34</v>
      </c>
      <c r="E890" s="4">
        <v>12</v>
      </c>
      <c r="F890" s="8">
        <v>1.53</v>
      </c>
      <c r="G890" s="4">
        <v>4</v>
      </c>
      <c r="H890" s="8">
        <v>1</v>
      </c>
      <c r="I890" s="4">
        <v>0</v>
      </c>
    </row>
    <row r="891" spans="1:9" x14ac:dyDescent="0.2">
      <c r="A891" s="2">
        <v>20</v>
      </c>
      <c r="B891" s="1" t="s">
        <v>200</v>
      </c>
      <c r="C891" s="4">
        <v>16</v>
      </c>
      <c r="D891" s="8">
        <v>1.34</v>
      </c>
      <c r="E891" s="4">
        <v>15</v>
      </c>
      <c r="F891" s="8">
        <v>1.91</v>
      </c>
      <c r="G891" s="4">
        <v>1</v>
      </c>
      <c r="H891" s="8">
        <v>0.25</v>
      </c>
      <c r="I891" s="4">
        <v>0</v>
      </c>
    </row>
    <row r="892" spans="1:9" x14ac:dyDescent="0.2">
      <c r="A892" s="1"/>
      <c r="C892" s="4"/>
      <c r="D892" s="8"/>
      <c r="E892" s="4"/>
      <c r="F892" s="8"/>
      <c r="G892" s="4"/>
      <c r="H892" s="8"/>
      <c r="I892" s="4"/>
    </row>
    <row r="893" spans="1:9" x14ac:dyDescent="0.2">
      <c r="A893" s="1" t="s">
        <v>39</v>
      </c>
      <c r="C893" s="4"/>
      <c r="D893" s="8"/>
      <c r="E893" s="4"/>
      <c r="F893" s="8"/>
      <c r="G893" s="4"/>
      <c r="H893" s="8"/>
      <c r="I893" s="4"/>
    </row>
    <row r="894" spans="1:9" x14ac:dyDescent="0.2">
      <c r="A894" s="2">
        <v>1</v>
      </c>
      <c r="B894" s="1" t="s">
        <v>164</v>
      </c>
      <c r="C894" s="4">
        <v>63</v>
      </c>
      <c r="D894" s="8">
        <v>6.68</v>
      </c>
      <c r="E894" s="4">
        <v>60</v>
      </c>
      <c r="F894" s="8">
        <v>10.66</v>
      </c>
      <c r="G894" s="4">
        <v>3</v>
      </c>
      <c r="H894" s="8">
        <v>0.82</v>
      </c>
      <c r="I894" s="4">
        <v>0</v>
      </c>
    </row>
    <row r="895" spans="1:9" x14ac:dyDescent="0.2">
      <c r="A895" s="2">
        <v>2</v>
      </c>
      <c r="B895" s="1" t="s">
        <v>163</v>
      </c>
      <c r="C895" s="4">
        <v>48</v>
      </c>
      <c r="D895" s="8">
        <v>5.09</v>
      </c>
      <c r="E895" s="4">
        <v>48</v>
      </c>
      <c r="F895" s="8">
        <v>8.5299999999999994</v>
      </c>
      <c r="G895" s="4">
        <v>0</v>
      </c>
      <c r="H895" s="8">
        <v>0</v>
      </c>
      <c r="I895" s="4">
        <v>0</v>
      </c>
    </row>
    <row r="896" spans="1:9" x14ac:dyDescent="0.2">
      <c r="A896" s="2">
        <v>3</v>
      </c>
      <c r="B896" s="1" t="s">
        <v>148</v>
      </c>
      <c r="C896" s="4">
        <v>39</v>
      </c>
      <c r="D896" s="8">
        <v>4.1399999999999997</v>
      </c>
      <c r="E896" s="4">
        <v>6</v>
      </c>
      <c r="F896" s="8">
        <v>1.07</v>
      </c>
      <c r="G896" s="4">
        <v>33</v>
      </c>
      <c r="H896" s="8">
        <v>8.9700000000000006</v>
      </c>
      <c r="I896" s="4">
        <v>0</v>
      </c>
    </row>
    <row r="897" spans="1:9" x14ac:dyDescent="0.2">
      <c r="A897" s="2">
        <v>4</v>
      </c>
      <c r="B897" s="1" t="s">
        <v>150</v>
      </c>
      <c r="C897" s="4">
        <v>36</v>
      </c>
      <c r="D897" s="8">
        <v>3.82</v>
      </c>
      <c r="E897" s="4">
        <v>18</v>
      </c>
      <c r="F897" s="8">
        <v>3.2</v>
      </c>
      <c r="G897" s="4">
        <v>18</v>
      </c>
      <c r="H897" s="8">
        <v>4.8899999999999997</v>
      </c>
      <c r="I897" s="4">
        <v>0</v>
      </c>
    </row>
    <row r="898" spans="1:9" x14ac:dyDescent="0.2">
      <c r="A898" s="2">
        <v>5</v>
      </c>
      <c r="B898" s="1" t="s">
        <v>197</v>
      </c>
      <c r="C898" s="4">
        <v>31</v>
      </c>
      <c r="D898" s="8">
        <v>3.29</v>
      </c>
      <c r="E898" s="4">
        <v>29</v>
      </c>
      <c r="F898" s="8">
        <v>5.15</v>
      </c>
      <c r="G898" s="4">
        <v>2</v>
      </c>
      <c r="H898" s="8">
        <v>0.54</v>
      </c>
      <c r="I898" s="4">
        <v>0</v>
      </c>
    </row>
    <row r="899" spans="1:9" x14ac:dyDescent="0.2">
      <c r="A899" s="2">
        <v>6</v>
      </c>
      <c r="B899" s="1" t="s">
        <v>167</v>
      </c>
      <c r="C899" s="4">
        <v>27</v>
      </c>
      <c r="D899" s="8">
        <v>2.86</v>
      </c>
      <c r="E899" s="4">
        <v>22</v>
      </c>
      <c r="F899" s="8">
        <v>3.91</v>
      </c>
      <c r="G899" s="4">
        <v>5</v>
      </c>
      <c r="H899" s="8">
        <v>1.36</v>
      </c>
      <c r="I899" s="4">
        <v>0</v>
      </c>
    </row>
    <row r="900" spans="1:9" x14ac:dyDescent="0.2">
      <c r="A900" s="2">
        <v>7</v>
      </c>
      <c r="B900" s="1" t="s">
        <v>189</v>
      </c>
      <c r="C900" s="4">
        <v>24</v>
      </c>
      <c r="D900" s="8">
        <v>2.5499999999999998</v>
      </c>
      <c r="E900" s="4">
        <v>23</v>
      </c>
      <c r="F900" s="8">
        <v>4.09</v>
      </c>
      <c r="G900" s="4">
        <v>1</v>
      </c>
      <c r="H900" s="8">
        <v>0.27</v>
      </c>
      <c r="I900" s="4">
        <v>0</v>
      </c>
    </row>
    <row r="901" spans="1:9" x14ac:dyDescent="0.2">
      <c r="A901" s="2">
        <v>8</v>
      </c>
      <c r="B901" s="1" t="s">
        <v>161</v>
      </c>
      <c r="C901" s="4">
        <v>23</v>
      </c>
      <c r="D901" s="8">
        <v>2.44</v>
      </c>
      <c r="E901" s="4">
        <v>19</v>
      </c>
      <c r="F901" s="8">
        <v>3.37</v>
      </c>
      <c r="G901" s="4">
        <v>4</v>
      </c>
      <c r="H901" s="8">
        <v>1.0900000000000001</v>
      </c>
      <c r="I901" s="4">
        <v>0</v>
      </c>
    </row>
    <row r="902" spans="1:9" x14ac:dyDescent="0.2">
      <c r="A902" s="2">
        <v>9</v>
      </c>
      <c r="B902" s="1" t="s">
        <v>155</v>
      </c>
      <c r="C902" s="4">
        <v>20</v>
      </c>
      <c r="D902" s="8">
        <v>2.12</v>
      </c>
      <c r="E902" s="4">
        <v>9</v>
      </c>
      <c r="F902" s="8">
        <v>1.6</v>
      </c>
      <c r="G902" s="4">
        <v>11</v>
      </c>
      <c r="H902" s="8">
        <v>2.99</v>
      </c>
      <c r="I902" s="4">
        <v>0</v>
      </c>
    </row>
    <row r="903" spans="1:9" x14ac:dyDescent="0.2">
      <c r="A903" s="2">
        <v>9</v>
      </c>
      <c r="B903" s="1" t="s">
        <v>162</v>
      </c>
      <c r="C903" s="4">
        <v>20</v>
      </c>
      <c r="D903" s="8">
        <v>2.12</v>
      </c>
      <c r="E903" s="4">
        <v>20</v>
      </c>
      <c r="F903" s="8">
        <v>3.55</v>
      </c>
      <c r="G903" s="4">
        <v>0</v>
      </c>
      <c r="H903" s="8">
        <v>0</v>
      </c>
      <c r="I903" s="4">
        <v>0</v>
      </c>
    </row>
    <row r="904" spans="1:9" x14ac:dyDescent="0.2">
      <c r="A904" s="2">
        <v>11</v>
      </c>
      <c r="B904" s="1" t="s">
        <v>152</v>
      </c>
      <c r="C904" s="4">
        <v>19</v>
      </c>
      <c r="D904" s="8">
        <v>2.0099999999999998</v>
      </c>
      <c r="E904" s="4">
        <v>9</v>
      </c>
      <c r="F904" s="8">
        <v>1.6</v>
      </c>
      <c r="G904" s="4">
        <v>10</v>
      </c>
      <c r="H904" s="8">
        <v>2.72</v>
      </c>
      <c r="I904" s="4">
        <v>0</v>
      </c>
    </row>
    <row r="905" spans="1:9" x14ac:dyDescent="0.2">
      <c r="A905" s="2">
        <v>11</v>
      </c>
      <c r="B905" s="1" t="s">
        <v>154</v>
      </c>
      <c r="C905" s="4">
        <v>19</v>
      </c>
      <c r="D905" s="8">
        <v>2.0099999999999998</v>
      </c>
      <c r="E905" s="4">
        <v>15</v>
      </c>
      <c r="F905" s="8">
        <v>2.66</v>
      </c>
      <c r="G905" s="4">
        <v>4</v>
      </c>
      <c r="H905" s="8">
        <v>1.0900000000000001</v>
      </c>
      <c r="I905" s="4">
        <v>0</v>
      </c>
    </row>
    <row r="906" spans="1:9" x14ac:dyDescent="0.2">
      <c r="A906" s="2">
        <v>13</v>
      </c>
      <c r="B906" s="1" t="s">
        <v>153</v>
      </c>
      <c r="C906" s="4">
        <v>18</v>
      </c>
      <c r="D906" s="8">
        <v>1.91</v>
      </c>
      <c r="E906" s="4">
        <v>9</v>
      </c>
      <c r="F906" s="8">
        <v>1.6</v>
      </c>
      <c r="G906" s="4">
        <v>9</v>
      </c>
      <c r="H906" s="8">
        <v>2.4500000000000002</v>
      </c>
      <c r="I906" s="4">
        <v>0</v>
      </c>
    </row>
    <row r="907" spans="1:9" x14ac:dyDescent="0.2">
      <c r="A907" s="2">
        <v>13</v>
      </c>
      <c r="B907" s="1" t="s">
        <v>192</v>
      </c>
      <c r="C907" s="4">
        <v>18</v>
      </c>
      <c r="D907" s="8">
        <v>1.91</v>
      </c>
      <c r="E907" s="4">
        <v>14</v>
      </c>
      <c r="F907" s="8">
        <v>2.4900000000000002</v>
      </c>
      <c r="G907" s="4">
        <v>4</v>
      </c>
      <c r="H907" s="8">
        <v>1.0900000000000001</v>
      </c>
      <c r="I907" s="4">
        <v>0</v>
      </c>
    </row>
    <row r="908" spans="1:9" x14ac:dyDescent="0.2">
      <c r="A908" s="2">
        <v>15</v>
      </c>
      <c r="B908" s="1" t="s">
        <v>168</v>
      </c>
      <c r="C908" s="4">
        <v>17</v>
      </c>
      <c r="D908" s="8">
        <v>1.8</v>
      </c>
      <c r="E908" s="4">
        <v>4</v>
      </c>
      <c r="F908" s="8">
        <v>0.71</v>
      </c>
      <c r="G908" s="4">
        <v>13</v>
      </c>
      <c r="H908" s="8">
        <v>3.53</v>
      </c>
      <c r="I908" s="4">
        <v>0</v>
      </c>
    </row>
    <row r="909" spans="1:9" x14ac:dyDescent="0.2">
      <c r="A909" s="2">
        <v>16</v>
      </c>
      <c r="B909" s="1" t="s">
        <v>174</v>
      </c>
      <c r="C909" s="4">
        <v>15</v>
      </c>
      <c r="D909" s="8">
        <v>1.59</v>
      </c>
      <c r="E909" s="4">
        <v>6</v>
      </c>
      <c r="F909" s="8">
        <v>1.07</v>
      </c>
      <c r="G909" s="4">
        <v>9</v>
      </c>
      <c r="H909" s="8">
        <v>2.4500000000000002</v>
      </c>
      <c r="I909" s="4">
        <v>0</v>
      </c>
    </row>
    <row r="910" spans="1:9" x14ac:dyDescent="0.2">
      <c r="A910" s="2">
        <v>16</v>
      </c>
      <c r="B910" s="1" t="s">
        <v>191</v>
      </c>
      <c r="C910" s="4">
        <v>15</v>
      </c>
      <c r="D910" s="8">
        <v>1.59</v>
      </c>
      <c r="E910" s="4">
        <v>9</v>
      </c>
      <c r="F910" s="8">
        <v>1.6</v>
      </c>
      <c r="G910" s="4">
        <v>6</v>
      </c>
      <c r="H910" s="8">
        <v>1.63</v>
      </c>
      <c r="I910" s="4">
        <v>0</v>
      </c>
    </row>
    <row r="911" spans="1:9" x14ac:dyDescent="0.2">
      <c r="A911" s="2">
        <v>16</v>
      </c>
      <c r="B911" s="1" t="s">
        <v>158</v>
      </c>
      <c r="C911" s="4">
        <v>15</v>
      </c>
      <c r="D911" s="8">
        <v>1.59</v>
      </c>
      <c r="E911" s="4">
        <v>6</v>
      </c>
      <c r="F911" s="8">
        <v>1.07</v>
      </c>
      <c r="G911" s="4">
        <v>8</v>
      </c>
      <c r="H911" s="8">
        <v>2.17</v>
      </c>
      <c r="I911" s="4">
        <v>0</v>
      </c>
    </row>
    <row r="912" spans="1:9" x14ac:dyDescent="0.2">
      <c r="A912" s="2">
        <v>16</v>
      </c>
      <c r="B912" s="1" t="s">
        <v>166</v>
      </c>
      <c r="C912" s="4">
        <v>15</v>
      </c>
      <c r="D912" s="8">
        <v>1.59</v>
      </c>
      <c r="E912" s="4">
        <v>14</v>
      </c>
      <c r="F912" s="8">
        <v>2.4900000000000002</v>
      </c>
      <c r="G912" s="4">
        <v>1</v>
      </c>
      <c r="H912" s="8">
        <v>0.27</v>
      </c>
      <c r="I912" s="4">
        <v>0</v>
      </c>
    </row>
    <row r="913" spans="1:9" x14ac:dyDescent="0.2">
      <c r="A913" s="2">
        <v>20</v>
      </c>
      <c r="B913" s="1" t="s">
        <v>156</v>
      </c>
      <c r="C913" s="4">
        <v>14</v>
      </c>
      <c r="D913" s="8">
        <v>1.48</v>
      </c>
      <c r="E913" s="4">
        <v>8</v>
      </c>
      <c r="F913" s="8">
        <v>1.42</v>
      </c>
      <c r="G913" s="4">
        <v>6</v>
      </c>
      <c r="H913" s="8">
        <v>1.63</v>
      </c>
      <c r="I913" s="4">
        <v>0</v>
      </c>
    </row>
    <row r="914" spans="1:9" x14ac:dyDescent="0.2">
      <c r="A914" s="1"/>
      <c r="C914" s="4"/>
      <c r="D914" s="8"/>
      <c r="E914" s="4"/>
      <c r="F914" s="8"/>
      <c r="G914" s="4"/>
      <c r="H914" s="8"/>
      <c r="I914" s="4"/>
    </row>
    <row r="915" spans="1:9" x14ac:dyDescent="0.2">
      <c r="A915" s="1" t="s">
        <v>40</v>
      </c>
      <c r="C915" s="4"/>
      <c r="D915" s="8"/>
      <c r="E915" s="4"/>
      <c r="F915" s="8"/>
      <c r="G915" s="4"/>
      <c r="H915" s="8"/>
      <c r="I915" s="4"/>
    </row>
    <row r="916" spans="1:9" x14ac:dyDescent="0.2">
      <c r="A916" s="2">
        <v>1</v>
      </c>
      <c r="B916" s="1" t="s">
        <v>164</v>
      </c>
      <c r="C916" s="4">
        <v>97</v>
      </c>
      <c r="D916" s="8">
        <v>4.92</v>
      </c>
      <c r="E916" s="4">
        <v>89</v>
      </c>
      <c r="F916" s="8">
        <v>7.68</v>
      </c>
      <c r="G916" s="4">
        <v>8</v>
      </c>
      <c r="H916" s="8">
        <v>1</v>
      </c>
      <c r="I916" s="4">
        <v>0</v>
      </c>
    </row>
    <row r="917" spans="1:9" x14ac:dyDescent="0.2">
      <c r="A917" s="2">
        <v>2</v>
      </c>
      <c r="B917" s="1" t="s">
        <v>163</v>
      </c>
      <c r="C917" s="4">
        <v>88</v>
      </c>
      <c r="D917" s="8">
        <v>4.47</v>
      </c>
      <c r="E917" s="4">
        <v>83</v>
      </c>
      <c r="F917" s="8">
        <v>7.16</v>
      </c>
      <c r="G917" s="4">
        <v>5</v>
      </c>
      <c r="H917" s="8">
        <v>0.62</v>
      </c>
      <c r="I917" s="4">
        <v>0</v>
      </c>
    </row>
    <row r="918" spans="1:9" x14ac:dyDescent="0.2">
      <c r="A918" s="2">
        <v>3</v>
      </c>
      <c r="B918" s="1" t="s">
        <v>150</v>
      </c>
      <c r="C918" s="4">
        <v>65</v>
      </c>
      <c r="D918" s="8">
        <v>3.3</v>
      </c>
      <c r="E918" s="4">
        <v>37</v>
      </c>
      <c r="F918" s="8">
        <v>3.19</v>
      </c>
      <c r="G918" s="4">
        <v>28</v>
      </c>
      <c r="H918" s="8">
        <v>3.5</v>
      </c>
      <c r="I918" s="4">
        <v>0</v>
      </c>
    </row>
    <row r="919" spans="1:9" x14ac:dyDescent="0.2">
      <c r="A919" s="2">
        <v>4</v>
      </c>
      <c r="B919" s="1" t="s">
        <v>152</v>
      </c>
      <c r="C919" s="4">
        <v>59</v>
      </c>
      <c r="D919" s="8">
        <v>2.99</v>
      </c>
      <c r="E919" s="4">
        <v>25</v>
      </c>
      <c r="F919" s="8">
        <v>2.16</v>
      </c>
      <c r="G919" s="4">
        <v>34</v>
      </c>
      <c r="H919" s="8">
        <v>4.24</v>
      </c>
      <c r="I919" s="4">
        <v>0</v>
      </c>
    </row>
    <row r="920" spans="1:9" x14ac:dyDescent="0.2">
      <c r="A920" s="2">
        <v>4</v>
      </c>
      <c r="B920" s="1" t="s">
        <v>158</v>
      </c>
      <c r="C920" s="4">
        <v>59</v>
      </c>
      <c r="D920" s="8">
        <v>2.99</v>
      </c>
      <c r="E920" s="4">
        <v>32</v>
      </c>
      <c r="F920" s="8">
        <v>2.76</v>
      </c>
      <c r="G920" s="4">
        <v>27</v>
      </c>
      <c r="H920" s="8">
        <v>3.37</v>
      </c>
      <c r="I920" s="4">
        <v>0</v>
      </c>
    </row>
    <row r="921" spans="1:9" x14ac:dyDescent="0.2">
      <c r="A921" s="2">
        <v>6</v>
      </c>
      <c r="B921" s="1" t="s">
        <v>167</v>
      </c>
      <c r="C921" s="4">
        <v>58</v>
      </c>
      <c r="D921" s="8">
        <v>2.94</v>
      </c>
      <c r="E921" s="4">
        <v>52</v>
      </c>
      <c r="F921" s="8">
        <v>4.49</v>
      </c>
      <c r="G921" s="4">
        <v>6</v>
      </c>
      <c r="H921" s="8">
        <v>0.75</v>
      </c>
      <c r="I921" s="4">
        <v>0</v>
      </c>
    </row>
    <row r="922" spans="1:9" x14ac:dyDescent="0.2">
      <c r="A922" s="2">
        <v>7</v>
      </c>
      <c r="B922" s="1" t="s">
        <v>162</v>
      </c>
      <c r="C922" s="4">
        <v>55</v>
      </c>
      <c r="D922" s="8">
        <v>2.79</v>
      </c>
      <c r="E922" s="4">
        <v>55</v>
      </c>
      <c r="F922" s="8">
        <v>4.75</v>
      </c>
      <c r="G922" s="4">
        <v>0</v>
      </c>
      <c r="H922" s="8">
        <v>0</v>
      </c>
      <c r="I922" s="4">
        <v>0</v>
      </c>
    </row>
    <row r="923" spans="1:9" x14ac:dyDescent="0.2">
      <c r="A923" s="2">
        <v>8</v>
      </c>
      <c r="B923" s="1" t="s">
        <v>161</v>
      </c>
      <c r="C923" s="4">
        <v>52</v>
      </c>
      <c r="D923" s="8">
        <v>2.64</v>
      </c>
      <c r="E923" s="4">
        <v>43</v>
      </c>
      <c r="F923" s="8">
        <v>3.71</v>
      </c>
      <c r="G923" s="4">
        <v>9</v>
      </c>
      <c r="H923" s="8">
        <v>1.1200000000000001</v>
      </c>
      <c r="I923" s="4">
        <v>0</v>
      </c>
    </row>
    <row r="924" spans="1:9" x14ac:dyDescent="0.2">
      <c r="A924" s="2">
        <v>9</v>
      </c>
      <c r="B924" s="1" t="s">
        <v>148</v>
      </c>
      <c r="C924" s="4">
        <v>48</v>
      </c>
      <c r="D924" s="8">
        <v>2.44</v>
      </c>
      <c r="E924" s="4">
        <v>10</v>
      </c>
      <c r="F924" s="8">
        <v>0.86</v>
      </c>
      <c r="G924" s="4">
        <v>38</v>
      </c>
      <c r="H924" s="8">
        <v>4.74</v>
      </c>
      <c r="I924" s="4">
        <v>0</v>
      </c>
    </row>
    <row r="925" spans="1:9" x14ac:dyDescent="0.2">
      <c r="A925" s="2">
        <v>10</v>
      </c>
      <c r="B925" s="1" t="s">
        <v>154</v>
      </c>
      <c r="C925" s="4">
        <v>45</v>
      </c>
      <c r="D925" s="8">
        <v>2.2799999999999998</v>
      </c>
      <c r="E925" s="4">
        <v>36</v>
      </c>
      <c r="F925" s="8">
        <v>3.11</v>
      </c>
      <c r="G925" s="4">
        <v>9</v>
      </c>
      <c r="H925" s="8">
        <v>1.1200000000000001</v>
      </c>
      <c r="I925" s="4">
        <v>0</v>
      </c>
    </row>
    <row r="926" spans="1:9" x14ac:dyDescent="0.2">
      <c r="A926" s="2">
        <v>11</v>
      </c>
      <c r="B926" s="1" t="s">
        <v>155</v>
      </c>
      <c r="C926" s="4">
        <v>43</v>
      </c>
      <c r="D926" s="8">
        <v>2.1800000000000002</v>
      </c>
      <c r="E926" s="4">
        <v>22</v>
      </c>
      <c r="F926" s="8">
        <v>1.9</v>
      </c>
      <c r="G926" s="4">
        <v>21</v>
      </c>
      <c r="H926" s="8">
        <v>2.62</v>
      </c>
      <c r="I926" s="4">
        <v>0</v>
      </c>
    </row>
    <row r="927" spans="1:9" x14ac:dyDescent="0.2">
      <c r="A927" s="2">
        <v>12</v>
      </c>
      <c r="B927" s="1" t="s">
        <v>188</v>
      </c>
      <c r="C927" s="4">
        <v>41</v>
      </c>
      <c r="D927" s="8">
        <v>2.08</v>
      </c>
      <c r="E927" s="4">
        <v>18</v>
      </c>
      <c r="F927" s="8">
        <v>1.55</v>
      </c>
      <c r="G927" s="4">
        <v>23</v>
      </c>
      <c r="H927" s="8">
        <v>2.87</v>
      </c>
      <c r="I927" s="4">
        <v>0</v>
      </c>
    </row>
    <row r="928" spans="1:9" x14ac:dyDescent="0.2">
      <c r="A928" s="2">
        <v>12</v>
      </c>
      <c r="B928" s="1" t="s">
        <v>156</v>
      </c>
      <c r="C928" s="4">
        <v>41</v>
      </c>
      <c r="D928" s="8">
        <v>2.08</v>
      </c>
      <c r="E928" s="4">
        <v>25</v>
      </c>
      <c r="F928" s="8">
        <v>2.16</v>
      </c>
      <c r="G928" s="4">
        <v>16</v>
      </c>
      <c r="H928" s="8">
        <v>2</v>
      </c>
      <c r="I928" s="4">
        <v>0</v>
      </c>
    </row>
    <row r="929" spans="1:9" x14ac:dyDescent="0.2">
      <c r="A929" s="2">
        <v>14</v>
      </c>
      <c r="B929" s="1" t="s">
        <v>168</v>
      </c>
      <c r="C929" s="4">
        <v>35</v>
      </c>
      <c r="D929" s="8">
        <v>1.78</v>
      </c>
      <c r="E929" s="4">
        <v>20</v>
      </c>
      <c r="F929" s="8">
        <v>1.73</v>
      </c>
      <c r="G929" s="4">
        <v>15</v>
      </c>
      <c r="H929" s="8">
        <v>1.87</v>
      </c>
      <c r="I929" s="4">
        <v>0</v>
      </c>
    </row>
    <row r="930" spans="1:9" x14ac:dyDescent="0.2">
      <c r="A930" s="2">
        <v>15</v>
      </c>
      <c r="B930" s="1" t="s">
        <v>166</v>
      </c>
      <c r="C930" s="4">
        <v>34</v>
      </c>
      <c r="D930" s="8">
        <v>1.73</v>
      </c>
      <c r="E930" s="4">
        <v>31</v>
      </c>
      <c r="F930" s="8">
        <v>2.67</v>
      </c>
      <c r="G930" s="4">
        <v>3</v>
      </c>
      <c r="H930" s="8">
        <v>0.37</v>
      </c>
      <c r="I930" s="4">
        <v>0</v>
      </c>
    </row>
    <row r="931" spans="1:9" x14ac:dyDescent="0.2">
      <c r="A931" s="2">
        <v>16</v>
      </c>
      <c r="B931" s="1" t="s">
        <v>197</v>
      </c>
      <c r="C931" s="4">
        <v>30</v>
      </c>
      <c r="D931" s="8">
        <v>1.52</v>
      </c>
      <c r="E931" s="4">
        <v>23</v>
      </c>
      <c r="F931" s="8">
        <v>1.98</v>
      </c>
      <c r="G931" s="4">
        <v>7</v>
      </c>
      <c r="H931" s="8">
        <v>0.87</v>
      </c>
      <c r="I931" s="4">
        <v>0</v>
      </c>
    </row>
    <row r="932" spans="1:9" x14ac:dyDescent="0.2">
      <c r="A932" s="2">
        <v>16</v>
      </c>
      <c r="B932" s="1" t="s">
        <v>191</v>
      </c>
      <c r="C932" s="4">
        <v>30</v>
      </c>
      <c r="D932" s="8">
        <v>1.52</v>
      </c>
      <c r="E932" s="4">
        <v>14</v>
      </c>
      <c r="F932" s="8">
        <v>1.21</v>
      </c>
      <c r="G932" s="4">
        <v>16</v>
      </c>
      <c r="H932" s="8">
        <v>2</v>
      </c>
      <c r="I932" s="4">
        <v>0</v>
      </c>
    </row>
    <row r="933" spans="1:9" x14ac:dyDescent="0.2">
      <c r="A933" s="2">
        <v>18</v>
      </c>
      <c r="B933" s="1" t="s">
        <v>149</v>
      </c>
      <c r="C933" s="4">
        <v>29</v>
      </c>
      <c r="D933" s="8">
        <v>1.47</v>
      </c>
      <c r="E933" s="4">
        <v>10</v>
      </c>
      <c r="F933" s="8">
        <v>0.86</v>
      </c>
      <c r="G933" s="4">
        <v>19</v>
      </c>
      <c r="H933" s="8">
        <v>2.37</v>
      </c>
      <c r="I933" s="4">
        <v>0</v>
      </c>
    </row>
    <row r="934" spans="1:9" x14ac:dyDescent="0.2">
      <c r="A934" s="2">
        <v>19</v>
      </c>
      <c r="B934" s="1" t="s">
        <v>198</v>
      </c>
      <c r="C934" s="4">
        <v>27</v>
      </c>
      <c r="D934" s="8">
        <v>1.37</v>
      </c>
      <c r="E934" s="4">
        <v>24</v>
      </c>
      <c r="F934" s="8">
        <v>2.0699999999999998</v>
      </c>
      <c r="G934" s="4">
        <v>3</v>
      </c>
      <c r="H934" s="8">
        <v>0.37</v>
      </c>
      <c r="I934" s="4">
        <v>0</v>
      </c>
    </row>
    <row r="935" spans="1:9" x14ac:dyDescent="0.2">
      <c r="A935" s="2">
        <v>19</v>
      </c>
      <c r="B935" s="1" t="s">
        <v>192</v>
      </c>
      <c r="C935" s="4">
        <v>27</v>
      </c>
      <c r="D935" s="8">
        <v>1.37</v>
      </c>
      <c r="E935" s="4">
        <v>24</v>
      </c>
      <c r="F935" s="8">
        <v>2.0699999999999998</v>
      </c>
      <c r="G935" s="4">
        <v>3</v>
      </c>
      <c r="H935" s="8">
        <v>0.37</v>
      </c>
      <c r="I935" s="4">
        <v>0</v>
      </c>
    </row>
    <row r="936" spans="1:9" x14ac:dyDescent="0.2">
      <c r="A936" s="1"/>
      <c r="C936" s="4"/>
      <c r="D936" s="8"/>
      <c r="E936" s="4"/>
      <c r="F936" s="8"/>
      <c r="G936" s="4"/>
      <c r="H936" s="8"/>
      <c r="I936" s="4"/>
    </row>
    <row r="937" spans="1:9" x14ac:dyDescent="0.2">
      <c r="A937" s="1" t="s">
        <v>41</v>
      </c>
      <c r="C937" s="4"/>
      <c r="D937" s="8"/>
      <c r="E937" s="4"/>
      <c r="F937" s="8"/>
      <c r="G937" s="4"/>
      <c r="H937" s="8"/>
      <c r="I937" s="4"/>
    </row>
    <row r="938" spans="1:9" x14ac:dyDescent="0.2">
      <c r="A938" s="2">
        <v>1</v>
      </c>
      <c r="B938" s="1" t="s">
        <v>163</v>
      </c>
      <c r="C938" s="4">
        <v>45</v>
      </c>
      <c r="D938" s="8">
        <v>4.75</v>
      </c>
      <c r="E938" s="4">
        <v>43</v>
      </c>
      <c r="F938" s="8">
        <v>9.27</v>
      </c>
      <c r="G938" s="4">
        <v>2</v>
      </c>
      <c r="H938" s="8">
        <v>0.42</v>
      </c>
      <c r="I938" s="4">
        <v>0</v>
      </c>
    </row>
    <row r="939" spans="1:9" x14ac:dyDescent="0.2">
      <c r="A939" s="2">
        <v>2</v>
      </c>
      <c r="B939" s="1" t="s">
        <v>164</v>
      </c>
      <c r="C939" s="4">
        <v>40</v>
      </c>
      <c r="D939" s="8">
        <v>4.22</v>
      </c>
      <c r="E939" s="4">
        <v>37</v>
      </c>
      <c r="F939" s="8">
        <v>7.97</v>
      </c>
      <c r="G939" s="4">
        <v>3</v>
      </c>
      <c r="H939" s="8">
        <v>0.63</v>
      </c>
      <c r="I939" s="4">
        <v>0</v>
      </c>
    </row>
    <row r="940" spans="1:9" x14ac:dyDescent="0.2">
      <c r="A940" s="2">
        <v>3</v>
      </c>
      <c r="B940" s="1" t="s">
        <v>148</v>
      </c>
      <c r="C940" s="4">
        <v>38</v>
      </c>
      <c r="D940" s="8">
        <v>4.01</v>
      </c>
      <c r="E940" s="4">
        <v>3</v>
      </c>
      <c r="F940" s="8">
        <v>0.65</v>
      </c>
      <c r="G940" s="4">
        <v>35</v>
      </c>
      <c r="H940" s="8">
        <v>7.34</v>
      </c>
      <c r="I940" s="4">
        <v>0</v>
      </c>
    </row>
    <row r="941" spans="1:9" x14ac:dyDescent="0.2">
      <c r="A941" s="2">
        <v>4</v>
      </c>
      <c r="B941" s="1" t="s">
        <v>161</v>
      </c>
      <c r="C941" s="4">
        <v>32</v>
      </c>
      <c r="D941" s="8">
        <v>3.38</v>
      </c>
      <c r="E941" s="4">
        <v>27</v>
      </c>
      <c r="F941" s="8">
        <v>5.82</v>
      </c>
      <c r="G941" s="4">
        <v>5</v>
      </c>
      <c r="H941" s="8">
        <v>1.05</v>
      </c>
      <c r="I941" s="4">
        <v>0</v>
      </c>
    </row>
    <row r="942" spans="1:9" x14ac:dyDescent="0.2">
      <c r="A942" s="2">
        <v>4</v>
      </c>
      <c r="B942" s="1" t="s">
        <v>167</v>
      </c>
      <c r="C942" s="4">
        <v>32</v>
      </c>
      <c r="D942" s="8">
        <v>3.38</v>
      </c>
      <c r="E942" s="4">
        <v>25</v>
      </c>
      <c r="F942" s="8">
        <v>5.39</v>
      </c>
      <c r="G942" s="4">
        <v>7</v>
      </c>
      <c r="H942" s="8">
        <v>1.47</v>
      </c>
      <c r="I942" s="4">
        <v>0</v>
      </c>
    </row>
    <row r="943" spans="1:9" x14ac:dyDescent="0.2">
      <c r="A943" s="2">
        <v>6</v>
      </c>
      <c r="B943" s="1" t="s">
        <v>150</v>
      </c>
      <c r="C943" s="4">
        <v>26</v>
      </c>
      <c r="D943" s="8">
        <v>2.74</v>
      </c>
      <c r="E943" s="4">
        <v>16</v>
      </c>
      <c r="F943" s="8">
        <v>3.45</v>
      </c>
      <c r="G943" s="4">
        <v>10</v>
      </c>
      <c r="H943" s="8">
        <v>2.1</v>
      </c>
      <c r="I943" s="4">
        <v>0</v>
      </c>
    </row>
    <row r="944" spans="1:9" x14ac:dyDescent="0.2">
      <c r="A944" s="2">
        <v>7</v>
      </c>
      <c r="B944" s="1" t="s">
        <v>162</v>
      </c>
      <c r="C944" s="4">
        <v>25</v>
      </c>
      <c r="D944" s="8">
        <v>2.64</v>
      </c>
      <c r="E944" s="4">
        <v>25</v>
      </c>
      <c r="F944" s="8">
        <v>5.39</v>
      </c>
      <c r="G944" s="4">
        <v>0</v>
      </c>
      <c r="H944" s="8">
        <v>0</v>
      </c>
      <c r="I944" s="4">
        <v>0</v>
      </c>
    </row>
    <row r="945" spans="1:9" x14ac:dyDescent="0.2">
      <c r="A945" s="2">
        <v>8</v>
      </c>
      <c r="B945" s="1" t="s">
        <v>152</v>
      </c>
      <c r="C945" s="4">
        <v>22</v>
      </c>
      <c r="D945" s="8">
        <v>2.3199999999999998</v>
      </c>
      <c r="E945" s="4">
        <v>10</v>
      </c>
      <c r="F945" s="8">
        <v>2.16</v>
      </c>
      <c r="G945" s="4">
        <v>12</v>
      </c>
      <c r="H945" s="8">
        <v>2.52</v>
      </c>
      <c r="I945" s="4">
        <v>0</v>
      </c>
    </row>
    <row r="946" spans="1:9" x14ac:dyDescent="0.2">
      <c r="A946" s="2">
        <v>9</v>
      </c>
      <c r="B946" s="1" t="s">
        <v>149</v>
      </c>
      <c r="C946" s="4">
        <v>21</v>
      </c>
      <c r="D946" s="8">
        <v>2.2200000000000002</v>
      </c>
      <c r="E946" s="4">
        <v>4</v>
      </c>
      <c r="F946" s="8">
        <v>0.86</v>
      </c>
      <c r="G946" s="4">
        <v>17</v>
      </c>
      <c r="H946" s="8">
        <v>3.56</v>
      </c>
      <c r="I946" s="4">
        <v>0</v>
      </c>
    </row>
    <row r="947" spans="1:9" x14ac:dyDescent="0.2">
      <c r="A947" s="2">
        <v>10</v>
      </c>
      <c r="B947" s="1" t="s">
        <v>158</v>
      </c>
      <c r="C947" s="4">
        <v>20</v>
      </c>
      <c r="D947" s="8">
        <v>2.11</v>
      </c>
      <c r="E947" s="4">
        <v>11</v>
      </c>
      <c r="F947" s="8">
        <v>2.37</v>
      </c>
      <c r="G947" s="4">
        <v>9</v>
      </c>
      <c r="H947" s="8">
        <v>1.89</v>
      </c>
      <c r="I947" s="4">
        <v>0</v>
      </c>
    </row>
    <row r="948" spans="1:9" x14ac:dyDescent="0.2">
      <c r="A948" s="2">
        <v>11</v>
      </c>
      <c r="B948" s="1" t="s">
        <v>155</v>
      </c>
      <c r="C948" s="4">
        <v>19</v>
      </c>
      <c r="D948" s="8">
        <v>2</v>
      </c>
      <c r="E948" s="4">
        <v>13</v>
      </c>
      <c r="F948" s="8">
        <v>2.8</v>
      </c>
      <c r="G948" s="4">
        <v>6</v>
      </c>
      <c r="H948" s="8">
        <v>1.26</v>
      </c>
      <c r="I948" s="4">
        <v>0</v>
      </c>
    </row>
    <row r="949" spans="1:9" x14ac:dyDescent="0.2">
      <c r="A949" s="2">
        <v>12</v>
      </c>
      <c r="B949" s="1" t="s">
        <v>166</v>
      </c>
      <c r="C949" s="4">
        <v>16</v>
      </c>
      <c r="D949" s="8">
        <v>1.69</v>
      </c>
      <c r="E949" s="4">
        <v>14</v>
      </c>
      <c r="F949" s="8">
        <v>3.02</v>
      </c>
      <c r="G949" s="4">
        <v>2</v>
      </c>
      <c r="H949" s="8">
        <v>0.42</v>
      </c>
      <c r="I949" s="4">
        <v>0</v>
      </c>
    </row>
    <row r="950" spans="1:9" x14ac:dyDescent="0.2">
      <c r="A950" s="2">
        <v>13</v>
      </c>
      <c r="B950" s="1" t="s">
        <v>154</v>
      </c>
      <c r="C950" s="4">
        <v>15</v>
      </c>
      <c r="D950" s="8">
        <v>1.58</v>
      </c>
      <c r="E950" s="4">
        <v>11</v>
      </c>
      <c r="F950" s="8">
        <v>2.37</v>
      </c>
      <c r="G950" s="4">
        <v>4</v>
      </c>
      <c r="H950" s="8">
        <v>0.84</v>
      </c>
      <c r="I950" s="4">
        <v>0</v>
      </c>
    </row>
    <row r="951" spans="1:9" x14ac:dyDescent="0.2">
      <c r="A951" s="2">
        <v>13</v>
      </c>
      <c r="B951" s="1" t="s">
        <v>191</v>
      </c>
      <c r="C951" s="4">
        <v>15</v>
      </c>
      <c r="D951" s="8">
        <v>1.58</v>
      </c>
      <c r="E951" s="4">
        <v>4</v>
      </c>
      <c r="F951" s="8">
        <v>0.86</v>
      </c>
      <c r="G951" s="4">
        <v>11</v>
      </c>
      <c r="H951" s="8">
        <v>2.31</v>
      </c>
      <c r="I951" s="4">
        <v>0</v>
      </c>
    </row>
    <row r="952" spans="1:9" x14ac:dyDescent="0.2">
      <c r="A952" s="2">
        <v>15</v>
      </c>
      <c r="B952" s="1" t="s">
        <v>153</v>
      </c>
      <c r="C952" s="4">
        <v>14</v>
      </c>
      <c r="D952" s="8">
        <v>1.48</v>
      </c>
      <c r="E952" s="4">
        <v>3</v>
      </c>
      <c r="F952" s="8">
        <v>0.65</v>
      </c>
      <c r="G952" s="4">
        <v>11</v>
      </c>
      <c r="H952" s="8">
        <v>2.31</v>
      </c>
      <c r="I952" s="4">
        <v>0</v>
      </c>
    </row>
    <row r="953" spans="1:9" x14ac:dyDescent="0.2">
      <c r="A953" s="2">
        <v>16</v>
      </c>
      <c r="B953" s="1" t="s">
        <v>156</v>
      </c>
      <c r="C953" s="4">
        <v>13</v>
      </c>
      <c r="D953" s="8">
        <v>1.37</v>
      </c>
      <c r="E953" s="4">
        <v>4</v>
      </c>
      <c r="F953" s="8">
        <v>0.86</v>
      </c>
      <c r="G953" s="4">
        <v>9</v>
      </c>
      <c r="H953" s="8">
        <v>1.89</v>
      </c>
      <c r="I953" s="4">
        <v>0</v>
      </c>
    </row>
    <row r="954" spans="1:9" x14ac:dyDescent="0.2">
      <c r="A954" s="2">
        <v>16</v>
      </c>
      <c r="B954" s="1" t="s">
        <v>170</v>
      </c>
      <c r="C954" s="4">
        <v>13</v>
      </c>
      <c r="D954" s="8">
        <v>1.37</v>
      </c>
      <c r="E954" s="4">
        <v>11</v>
      </c>
      <c r="F954" s="8">
        <v>2.37</v>
      </c>
      <c r="G954" s="4">
        <v>2</v>
      </c>
      <c r="H954" s="8">
        <v>0.42</v>
      </c>
      <c r="I954" s="4">
        <v>0</v>
      </c>
    </row>
    <row r="955" spans="1:9" x14ac:dyDescent="0.2">
      <c r="A955" s="2">
        <v>18</v>
      </c>
      <c r="B955" s="1" t="s">
        <v>203</v>
      </c>
      <c r="C955" s="4">
        <v>12</v>
      </c>
      <c r="D955" s="8">
        <v>1.27</v>
      </c>
      <c r="E955" s="4">
        <v>3</v>
      </c>
      <c r="F955" s="8">
        <v>0.65</v>
      </c>
      <c r="G955" s="4">
        <v>9</v>
      </c>
      <c r="H955" s="8">
        <v>1.89</v>
      </c>
      <c r="I955" s="4">
        <v>0</v>
      </c>
    </row>
    <row r="956" spans="1:9" x14ac:dyDescent="0.2">
      <c r="A956" s="2">
        <v>18</v>
      </c>
      <c r="B956" s="1" t="s">
        <v>168</v>
      </c>
      <c r="C956" s="4">
        <v>12</v>
      </c>
      <c r="D956" s="8">
        <v>1.27</v>
      </c>
      <c r="E956" s="4">
        <v>5</v>
      </c>
      <c r="F956" s="8">
        <v>1.08</v>
      </c>
      <c r="G956" s="4">
        <v>7</v>
      </c>
      <c r="H956" s="8">
        <v>1.47</v>
      </c>
      <c r="I956" s="4">
        <v>0</v>
      </c>
    </row>
    <row r="957" spans="1:9" x14ac:dyDescent="0.2">
      <c r="A957" s="2">
        <v>20</v>
      </c>
      <c r="B957" s="1" t="s">
        <v>151</v>
      </c>
      <c r="C957" s="4">
        <v>10</v>
      </c>
      <c r="D957" s="8">
        <v>1.05</v>
      </c>
      <c r="E957" s="4">
        <v>6</v>
      </c>
      <c r="F957" s="8">
        <v>1.29</v>
      </c>
      <c r="G957" s="4">
        <v>4</v>
      </c>
      <c r="H957" s="8">
        <v>0.84</v>
      </c>
      <c r="I957" s="4">
        <v>0</v>
      </c>
    </row>
    <row r="958" spans="1:9" x14ac:dyDescent="0.2">
      <c r="A958" s="2">
        <v>20</v>
      </c>
      <c r="B958" s="1" t="s">
        <v>197</v>
      </c>
      <c r="C958" s="4">
        <v>10</v>
      </c>
      <c r="D958" s="8">
        <v>1.05</v>
      </c>
      <c r="E958" s="4">
        <v>6</v>
      </c>
      <c r="F958" s="8">
        <v>1.29</v>
      </c>
      <c r="G958" s="4">
        <v>4</v>
      </c>
      <c r="H958" s="8">
        <v>0.84</v>
      </c>
      <c r="I958" s="4">
        <v>0</v>
      </c>
    </row>
    <row r="959" spans="1:9" x14ac:dyDescent="0.2">
      <c r="A959" s="2">
        <v>20</v>
      </c>
      <c r="B959" s="1" t="s">
        <v>175</v>
      </c>
      <c r="C959" s="4">
        <v>10</v>
      </c>
      <c r="D959" s="8">
        <v>1.05</v>
      </c>
      <c r="E959" s="4">
        <v>3</v>
      </c>
      <c r="F959" s="8">
        <v>0.65</v>
      </c>
      <c r="G959" s="4">
        <v>7</v>
      </c>
      <c r="H959" s="8">
        <v>1.47</v>
      </c>
      <c r="I959" s="4">
        <v>0</v>
      </c>
    </row>
    <row r="960" spans="1:9" x14ac:dyDescent="0.2">
      <c r="A960" s="2">
        <v>20</v>
      </c>
      <c r="B960" s="1" t="s">
        <v>176</v>
      </c>
      <c r="C960" s="4">
        <v>10</v>
      </c>
      <c r="D960" s="8">
        <v>1.05</v>
      </c>
      <c r="E960" s="4">
        <v>1</v>
      </c>
      <c r="F960" s="8">
        <v>0.22</v>
      </c>
      <c r="G960" s="4">
        <v>9</v>
      </c>
      <c r="H960" s="8">
        <v>1.89</v>
      </c>
      <c r="I960" s="4">
        <v>0</v>
      </c>
    </row>
    <row r="961" spans="1:9" x14ac:dyDescent="0.2">
      <c r="A961" s="2">
        <v>20</v>
      </c>
      <c r="B961" s="1" t="s">
        <v>177</v>
      </c>
      <c r="C961" s="4">
        <v>10</v>
      </c>
      <c r="D961" s="8">
        <v>1.05</v>
      </c>
      <c r="E961" s="4">
        <v>7</v>
      </c>
      <c r="F961" s="8">
        <v>1.51</v>
      </c>
      <c r="G961" s="4">
        <v>3</v>
      </c>
      <c r="H961" s="8">
        <v>0.63</v>
      </c>
      <c r="I961" s="4">
        <v>0</v>
      </c>
    </row>
    <row r="962" spans="1:9" x14ac:dyDescent="0.2">
      <c r="A962" s="2">
        <v>20</v>
      </c>
      <c r="B962" s="1" t="s">
        <v>160</v>
      </c>
      <c r="C962" s="4">
        <v>10</v>
      </c>
      <c r="D962" s="8">
        <v>1.05</v>
      </c>
      <c r="E962" s="4">
        <v>2</v>
      </c>
      <c r="F962" s="8">
        <v>0.43</v>
      </c>
      <c r="G962" s="4">
        <v>7</v>
      </c>
      <c r="H962" s="8">
        <v>1.47</v>
      </c>
      <c r="I962" s="4">
        <v>1</v>
      </c>
    </row>
    <row r="963" spans="1:9" x14ac:dyDescent="0.2">
      <c r="A963" s="2">
        <v>20</v>
      </c>
      <c r="B963" s="1" t="s">
        <v>169</v>
      </c>
      <c r="C963" s="4">
        <v>10</v>
      </c>
      <c r="D963" s="8">
        <v>1.05</v>
      </c>
      <c r="E963" s="4">
        <v>8</v>
      </c>
      <c r="F963" s="8">
        <v>1.72</v>
      </c>
      <c r="G963" s="4">
        <v>2</v>
      </c>
      <c r="H963" s="8">
        <v>0.42</v>
      </c>
      <c r="I963" s="4">
        <v>0</v>
      </c>
    </row>
    <row r="964" spans="1:9" x14ac:dyDescent="0.2">
      <c r="A964" s="1"/>
      <c r="C964" s="4"/>
      <c r="D964" s="8"/>
      <c r="E964" s="4"/>
      <c r="F964" s="8"/>
      <c r="G964" s="4"/>
      <c r="H964" s="8"/>
      <c r="I964" s="4"/>
    </row>
    <row r="965" spans="1:9" x14ac:dyDescent="0.2">
      <c r="A965" s="1" t="s">
        <v>42</v>
      </c>
      <c r="C965" s="4"/>
      <c r="D965" s="8"/>
      <c r="E965" s="4"/>
      <c r="F965" s="8"/>
      <c r="G965" s="4"/>
      <c r="H965" s="8"/>
      <c r="I965" s="4"/>
    </row>
    <row r="966" spans="1:9" x14ac:dyDescent="0.2">
      <c r="A966" s="2">
        <v>1</v>
      </c>
      <c r="B966" s="1" t="s">
        <v>164</v>
      </c>
      <c r="C966" s="4">
        <v>56</v>
      </c>
      <c r="D966" s="8">
        <v>5.97</v>
      </c>
      <c r="E966" s="4">
        <v>54</v>
      </c>
      <c r="F966" s="8">
        <v>9.8000000000000007</v>
      </c>
      <c r="G966" s="4">
        <v>2</v>
      </c>
      <c r="H966" s="8">
        <v>0.53</v>
      </c>
      <c r="I966" s="4">
        <v>0</v>
      </c>
    </row>
    <row r="967" spans="1:9" x14ac:dyDescent="0.2">
      <c r="A967" s="2">
        <v>2</v>
      </c>
      <c r="B967" s="1" t="s">
        <v>163</v>
      </c>
      <c r="C967" s="4">
        <v>41</v>
      </c>
      <c r="D967" s="8">
        <v>4.37</v>
      </c>
      <c r="E967" s="4">
        <v>39</v>
      </c>
      <c r="F967" s="8">
        <v>7.08</v>
      </c>
      <c r="G967" s="4">
        <v>2</v>
      </c>
      <c r="H967" s="8">
        <v>0.53</v>
      </c>
      <c r="I967" s="4">
        <v>0</v>
      </c>
    </row>
    <row r="968" spans="1:9" x14ac:dyDescent="0.2">
      <c r="A968" s="2">
        <v>3</v>
      </c>
      <c r="B968" s="1" t="s">
        <v>158</v>
      </c>
      <c r="C968" s="4">
        <v>30</v>
      </c>
      <c r="D968" s="8">
        <v>3.2</v>
      </c>
      <c r="E968" s="4">
        <v>25</v>
      </c>
      <c r="F968" s="8">
        <v>4.54</v>
      </c>
      <c r="G968" s="4">
        <v>5</v>
      </c>
      <c r="H968" s="8">
        <v>1.32</v>
      </c>
      <c r="I968" s="4">
        <v>0</v>
      </c>
    </row>
    <row r="969" spans="1:9" x14ac:dyDescent="0.2">
      <c r="A969" s="2">
        <v>4</v>
      </c>
      <c r="B969" s="1" t="s">
        <v>150</v>
      </c>
      <c r="C969" s="4">
        <v>26</v>
      </c>
      <c r="D969" s="8">
        <v>2.77</v>
      </c>
      <c r="E969" s="4">
        <v>13</v>
      </c>
      <c r="F969" s="8">
        <v>2.36</v>
      </c>
      <c r="G969" s="4">
        <v>13</v>
      </c>
      <c r="H969" s="8">
        <v>3.42</v>
      </c>
      <c r="I969" s="4">
        <v>0</v>
      </c>
    </row>
    <row r="970" spans="1:9" x14ac:dyDescent="0.2">
      <c r="A970" s="2">
        <v>5</v>
      </c>
      <c r="B970" s="1" t="s">
        <v>161</v>
      </c>
      <c r="C970" s="4">
        <v>25</v>
      </c>
      <c r="D970" s="8">
        <v>2.67</v>
      </c>
      <c r="E970" s="4">
        <v>22</v>
      </c>
      <c r="F970" s="8">
        <v>3.99</v>
      </c>
      <c r="G970" s="4">
        <v>3</v>
      </c>
      <c r="H970" s="8">
        <v>0.79</v>
      </c>
      <c r="I970" s="4">
        <v>0</v>
      </c>
    </row>
    <row r="971" spans="1:9" x14ac:dyDescent="0.2">
      <c r="A971" s="2">
        <v>6</v>
      </c>
      <c r="B971" s="1" t="s">
        <v>148</v>
      </c>
      <c r="C971" s="4">
        <v>23</v>
      </c>
      <c r="D971" s="8">
        <v>2.4500000000000002</v>
      </c>
      <c r="E971" s="4">
        <v>4</v>
      </c>
      <c r="F971" s="8">
        <v>0.73</v>
      </c>
      <c r="G971" s="4">
        <v>19</v>
      </c>
      <c r="H971" s="8">
        <v>5</v>
      </c>
      <c r="I971" s="4">
        <v>0</v>
      </c>
    </row>
    <row r="972" spans="1:9" x14ac:dyDescent="0.2">
      <c r="A972" s="2">
        <v>6</v>
      </c>
      <c r="B972" s="1" t="s">
        <v>152</v>
      </c>
      <c r="C972" s="4">
        <v>23</v>
      </c>
      <c r="D972" s="8">
        <v>2.4500000000000002</v>
      </c>
      <c r="E972" s="4">
        <v>12</v>
      </c>
      <c r="F972" s="8">
        <v>2.1800000000000002</v>
      </c>
      <c r="G972" s="4">
        <v>11</v>
      </c>
      <c r="H972" s="8">
        <v>2.89</v>
      </c>
      <c r="I972" s="4">
        <v>0</v>
      </c>
    </row>
    <row r="973" spans="1:9" x14ac:dyDescent="0.2">
      <c r="A973" s="2">
        <v>6</v>
      </c>
      <c r="B973" s="1" t="s">
        <v>153</v>
      </c>
      <c r="C973" s="4">
        <v>23</v>
      </c>
      <c r="D973" s="8">
        <v>2.4500000000000002</v>
      </c>
      <c r="E973" s="4">
        <v>10</v>
      </c>
      <c r="F973" s="8">
        <v>1.81</v>
      </c>
      <c r="G973" s="4">
        <v>13</v>
      </c>
      <c r="H973" s="8">
        <v>3.42</v>
      </c>
      <c r="I973" s="4">
        <v>0</v>
      </c>
    </row>
    <row r="974" spans="1:9" x14ac:dyDescent="0.2">
      <c r="A974" s="2">
        <v>9</v>
      </c>
      <c r="B974" s="1" t="s">
        <v>156</v>
      </c>
      <c r="C974" s="4">
        <v>22</v>
      </c>
      <c r="D974" s="8">
        <v>2.35</v>
      </c>
      <c r="E974" s="4">
        <v>16</v>
      </c>
      <c r="F974" s="8">
        <v>2.9</v>
      </c>
      <c r="G974" s="4">
        <v>6</v>
      </c>
      <c r="H974" s="8">
        <v>1.58</v>
      </c>
      <c r="I974" s="4">
        <v>0</v>
      </c>
    </row>
    <row r="975" spans="1:9" x14ac:dyDescent="0.2">
      <c r="A975" s="2">
        <v>10</v>
      </c>
      <c r="B975" s="1" t="s">
        <v>200</v>
      </c>
      <c r="C975" s="4">
        <v>20</v>
      </c>
      <c r="D975" s="8">
        <v>2.13</v>
      </c>
      <c r="E975" s="4">
        <v>18</v>
      </c>
      <c r="F975" s="8">
        <v>3.27</v>
      </c>
      <c r="G975" s="4">
        <v>2</v>
      </c>
      <c r="H975" s="8">
        <v>0.53</v>
      </c>
      <c r="I975" s="4">
        <v>0</v>
      </c>
    </row>
    <row r="976" spans="1:9" x14ac:dyDescent="0.2">
      <c r="A976" s="2">
        <v>11</v>
      </c>
      <c r="B976" s="1" t="s">
        <v>154</v>
      </c>
      <c r="C976" s="4">
        <v>19</v>
      </c>
      <c r="D976" s="8">
        <v>2.0299999999999998</v>
      </c>
      <c r="E976" s="4">
        <v>14</v>
      </c>
      <c r="F976" s="8">
        <v>2.54</v>
      </c>
      <c r="G976" s="4">
        <v>5</v>
      </c>
      <c r="H976" s="8">
        <v>1.32</v>
      </c>
      <c r="I976" s="4">
        <v>0</v>
      </c>
    </row>
    <row r="977" spans="1:9" x14ac:dyDescent="0.2">
      <c r="A977" s="2">
        <v>11</v>
      </c>
      <c r="B977" s="1" t="s">
        <v>168</v>
      </c>
      <c r="C977" s="4">
        <v>19</v>
      </c>
      <c r="D977" s="8">
        <v>2.0299999999999998</v>
      </c>
      <c r="E977" s="4">
        <v>6</v>
      </c>
      <c r="F977" s="8">
        <v>1.0900000000000001</v>
      </c>
      <c r="G977" s="4">
        <v>13</v>
      </c>
      <c r="H977" s="8">
        <v>3.42</v>
      </c>
      <c r="I977" s="4">
        <v>0</v>
      </c>
    </row>
    <row r="978" spans="1:9" x14ac:dyDescent="0.2">
      <c r="A978" s="2">
        <v>11</v>
      </c>
      <c r="B978" s="1" t="s">
        <v>162</v>
      </c>
      <c r="C978" s="4">
        <v>19</v>
      </c>
      <c r="D978" s="8">
        <v>2.0299999999999998</v>
      </c>
      <c r="E978" s="4">
        <v>18</v>
      </c>
      <c r="F978" s="8">
        <v>3.27</v>
      </c>
      <c r="G978" s="4">
        <v>1</v>
      </c>
      <c r="H978" s="8">
        <v>0.26</v>
      </c>
      <c r="I978" s="4">
        <v>0</v>
      </c>
    </row>
    <row r="979" spans="1:9" x14ac:dyDescent="0.2">
      <c r="A979" s="2">
        <v>14</v>
      </c>
      <c r="B979" s="1" t="s">
        <v>166</v>
      </c>
      <c r="C979" s="4">
        <v>18</v>
      </c>
      <c r="D979" s="8">
        <v>1.92</v>
      </c>
      <c r="E979" s="4">
        <v>17</v>
      </c>
      <c r="F979" s="8">
        <v>3.09</v>
      </c>
      <c r="G979" s="4">
        <v>1</v>
      </c>
      <c r="H979" s="8">
        <v>0.26</v>
      </c>
      <c r="I979" s="4">
        <v>0</v>
      </c>
    </row>
    <row r="980" spans="1:9" x14ac:dyDescent="0.2">
      <c r="A980" s="2">
        <v>15</v>
      </c>
      <c r="B980" s="1" t="s">
        <v>167</v>
      </c>
      <c r="C980" s="4">
        <v>15</v>
      </c>
      <c r="D980" s="8">
        <v>1.6</v>
      </c>
      <c r="E980" s="4">
        <v>11</v>
      </c>
      <c r="F980" s="8">
        <v>2</v>
      </c>
      <c r="G980" s="4">
        <v>4</v>
      </c>
      <c r="H980" s="8">
        <v>1.05</v>
      </c>
      <c r="I980" s="4">
        <v>0</v>
      </c>
    </row>
    <row r="981" spans="1:9" x14ac:dyDescent="0.2">
      <c r="A981" s="2">
        <v>16</v>
      </c>
      <c r="B981" s="1" t="s">
        <v>196</v>
      </c>
      <c r="C981" s="4">
        <v>14</v>
      </c>
      <c r="D981" s="8">
        <v>1.49</v>
      </c>
      <c r="E981" s="4">
        <v>10</v>
      </c>
      <c r="F981" s="8">
        <v>1.81</v>
      </c>
      <c r="G981" s="4">
        <v>4</v>
      </c>
      <c r="H981" s="8">
        <v>1.05</v>
      </c>
      <c r="I981" s="4">
        <v>0</v>
      </c>
    </row>
    <row r="982" spans="1:9" x14ac:dyDescent="0.2">
      <c r="A982" s="2">
        <v>16</v>
      </c>
      <c r="B982" s="1" t="s">
        <v>190</v>
      </c>
      <c r="C982" s="4">
        <v>14</v>
      </c>
      <c r="D982" s="8">
        <v>1.49</v>
      </c>
      <c r="E982" s="4">
        <v>13</v>
      </c>
      <c r="F982" s="8">
        <v>2.36</v>
      </c>
      <c r="G982" s="4">
        <v>1</v>
      </c>
      <c r="H982" s="8">
        <v>0.26</v>
      </c>
      <c r="I982" s="4">
        <v>0</v>
      </c>
    </row>
    <row r="983" spans="1:9" x14ac:dyDescent="0.2">
      <c r="A983" s="2">
        <v>18</v>
      </c>
      <c r="B983" s="1" t="s">
        <v>149</v>
      </c>
      <c r="C983" s="4">
        <v>13</v>
      </c>
      <c r="D983" s="8">
        <v>1.39</v>
      </c>
      <c r="E983" s="4">
        <v>2</v>
      </c>
      <c r="F983" s="8">
        <v>0.36</v>
      </c>
      <c r="G983" s="4">
        <v>11</v>
      </c>
      <c r="H983" s="8">
        <v>2.89</v>
      </c>
      <c r="I983" s="4">
        <v>0</v>
      </c>
    </row>
    <row r="984" spans="1:9" x14ac:dyDescent="0.2">
      <c r="A984" s="2">
        <v>18</v>
      </c>
      <c r="B984" s="1" t="s">
        <v>191</v>
      </c>
      <c r="C984" s="4">
        <v>13</v>
      </c>
      <c r="D984" s="8">
        <v>1.39</v>
      </c>
      <c r="E984" s="4">
        <v>3</v>
      </c>
      <c r="F984" s="8">
        <v>0.54</v>
      </c>
      <c r="G984" s="4">
        <v>10</v>
      </c>
      <c r="H984" s="8">
        <v>2.63</v>
      </c>
      <c r="I984" s="4">
        <v>0</v>
      </c>
    </row>
    <row r="985" spans="1:9" x14ac:dyDescent="0.2">
      <c r="A985" s="2">
        <v>18</v>
      </c>
      <c r="B985" s="1" t="s">
        <v>202</v>
      </c>
      <c r="C985" s="4">
        <v>13</v>
      </c>
      <c r="D985" s="8">
        <v>1.39</v>
      </c>
      <c r="E985" s="4">
        <v>10</v>
      </c>
      <c r="F985" s="8">
        <v>1.81</v>
      </c>
      <c r="G985" s="4">
        <v>3</v>
      </c>
      <c r="H985" s="8">
        <v>0.79</v>
      </c>
      <c r="I985" s="4">
        <v>0</v>
      </c>
    </row>
    <row r="986" spans="1:9" x14ac:dyDescent="0.2">
      <c r="A986" s="1"/>
      <c r="C986" s="4"/>
      <c r="D986" s="8"/>
      <c r="E986" s="4"/>
      <c r="F986" s="8"/>
      <c r="G986" s="4"/>
      <c r="H986" s="8"/>
      <c r="I986" s="4"/>
    </row>
    <row r="987" spans="1:9" x14ac:dyDescent="0.2">
      <c r="A987" s="1" t="s">
        <v>43</v>
      </c>
      <c r="C987" s="4"/>
      <c r="D987" s="8"/>
      <c r="E987" s="4"/>
      <c r="F987" s="8"/>
      <c r="G987" s="4"/>
      <c r="H987" s="8"/>
      <c r="I987" s="4"/>
    </row>
    <row r="988" spans="1:9" x14ac:dyDescent="0.2">
      <c r="A988" s="2">
        <v>1</v>
      </c>
      <c r="B988" s="1" t="s">
        <v>164</v>
      </c>
      <c r="C988" s="4">
        <v>48</v>
      </c>
      <c r="D988" s="8">
        <v>5.61</v>
      </c>
      <c r="E988" s="4">
        <v>43</v>
      </c>
      <c r="F988" s="8">
        <v>10.49</v>
      </c>
      <c r="G988" s="4">
        <v>5</v>
      </c>
      <c r="H988" s="8">
        <v>1.1499999999999999</v>
      </c>
      <c r="I988" s="4">
        <v>0</v>
      </c>
    </row>
    <row r="989" spans="1:9" x14ac:dyDescent="0.2">
      <c r="A989" s="2">
        <v>2</v>
      </c>
      <c r="B989" s="1" t="s">
        <v>158</v>
      </c>
      <c r="C989" s="4">
        <v>42</v>
      </c>
      <c r="D989" s="8">
        <v>4.91</v>
      </c>
      <c r="E989" s="4">
        <v>29</v>
      </c>
      <c r="F989" s="8">
        <v>7.07</v>
      </c>
      <c r="G989" s="4">
        <v>13</v>
      </c>
      <c r="H989" s="8">
        <v>2.98</v>
      </c>
      <c r="I989" s="4">
        <v>0</v>
      </c>
    </row>
    <row r="990" spans="1:9" x14ac:dyDescent="0.2">
      <c r="A990" s="2">
        <v>3</v>
      </c>
      <c r="B990" s="1" t="s">
        <v>162</v>
      </c>
      <c r="C990" s="4">
        <v>33</v>
      </c>
      <c r="D990" s="8">
        <v>3.86</v>
      </c>
      <c r="E990" s="4">
        <v>32</v>
      </c>
      <c r="F990" s="8">
        <v>7.8</v>
      </c>
      <c r="G990" s="4">
        <v>1</v>
      </c>
      <c r="H990" s="8">
        <v>0.23</v>
      </c>
      <c r="I990" s="4">
        <v>0</v>
      </c>
    </row>
    <row r="991" spans="1:9" x14ac:dyDescent="0.2">
      <c r="A991" s="2">
        <v>4</v>
      </c>
      <c r="B991" s="1" t="s">
        <v>163</v>
      </c>
      <c r="C991" s="4">
        <v>27</v>
      </c>
      <c r="D991" s="8">
        <v>3.16</v>
      </c>
      <c r="E991" s="4">
        <v>26</v>
      </c>
      <c r="F991" s="8">
        <v>6.34</v>
      </c>
      <c r="G991" s="4">
        <v>1</v>
      </c>
      <c r="H991" s="8">
        <v>0.23</v>
      </c>
      <c r="I991" s="4">
        <v>0</v>
      </c>
    </row>
    <row r="992" spans="1:9" x14ac:dyDescent="0.2">
      <c r="A992" s="2">
        <v>5</v>
      </c>
      <c r="B992" s="1" t="s">
        <v>148</v>
      </c>
      <c r="C992" s="4">
        <v>25</v>
      </c>
      <c r="D992" s="8">
        <v>2.92</v>
      </c>
      <c r="E992" s="4">
        <v>2</v>
      </c>
      <c r="F992" s="8">
        <v>0.49</v>
      </c>
      <c r="G992" s="4">
        <v>23</v>
      </c>
      <c r="H992" s="8">
        <v>5.28</v>
      </c>
      <c r="I992" s="4">
        <v>0</v>
      </c>
    </row>
    <row r="993" spans="1:9" x14ac:dyDescent="0.2">
      <c r="A993" s="2">
        <v>5</v>
      </c>
      <c r="B993" s="1" t="s">
        <v>199</v>
      </c>
      <c r="C993" s="4">
        <v>25</v>
      </c>
      <c r="D993" s="8">
        <v>2.92</v>
      </c>
      <c r="E993" s="4">
        <v>19</v>
      </c>
      <c r="F993" s="8">
        <v>4.63</v>
      </c>
      <c r="G993" s="4">
        <v>6</v>
      </c>
      <c r="H993" s="8">
        <v>1.38</v>
      </c>
      <c r="I993" s="4">
        <v>0</v>
      </c>
    </row>
    <row r="994" spans="1:9" x14ac:dyDescent="0.2">
      <c r="A994" s="2">
        <v>5</v>
      </c>
      <c r="B994" s="1" t="s">
        <v>166</v>
      </c>
      <c r="C994" s="4">
        <v>25</v>
      </c>
      <c r="D994" s="8">
        <v>2.92</v>
      </c>
      <c r="E994" s="4">
        <v>23</v>
      </c>
      <c r="F994" s="8">
        <v>5.61</v>
      </c>
      <c r="G994" s="4">
        <v>2</v>
      </c>
      <c r="H994" s="8">
        <v>0.46</v>
      </c>
      <c r="I994" s="4">
        <v>0</v>
      </c>
    </row>
    <row r="995" spans="1:9" x14ac:dyDescent="0.2">
      <c r="A995" s="2">
        <v>8</v>
      </c>
      <c r="B995" s="1" t="s">
        <v>161</v>
      </c>
      <c r="C995" s="4">
        <v>24</v>
      </c>
      <c r="D995" s="8">
        <v>2.81</v>
      </c>
      <c r="E995" s="4">
        <v>17</v>
      </c>
      <c r="F995" s="8">
        <v>4.1500000000000004</v>
      </c>
      <c r="G995" s="4">
        <v>7</v>
      </c>
      <c r="H995" s="8">
        <v>1.61</v>
      </c>
      <c r="I995" s="4">
        <v>0</v>
      </c>
    </row>
    <row r="996" spans="1:9" x14ac:dyDescent="0.2">
      <c r="A996" s="2">
        <v>9</v>
      </c>
      <c r="B996" s="1" t="s">
        <v>153</v>
      </c>
      <c r="C996" s="4">
        <v>20</v>
      </c>
      <c r="D996" s="8">
        <v>2.34</v>
      </c>
      <c r="E996" s="4">
        <v>5</v>
      </c>
      <c r="F996" s="8">
        <v>1.22</v>
      </c>
      <c r="G996" s="4">
        <v>15</v>
      </c>
      <c r="H996" s="8">
        <v>3.44</v>
      </c>
      <c r="I996" s="4">
        <v>0</v>
      </c>
    </row>
    <row r="997" spans="1:9" x14ac:dyDescent="0.2">
      <c r="A997" s="2">
        <v>9</v>
      </c>
      <c r="B997" s="1" t="s">
        <v>155</v>
      </c>
      <c r="C997" s="4">
        <v>20</v>
      </c>
      <c r="D997" s="8">
        <v>2.34</v>
      </c>
      <c r="E997" s="4">
        <v>9</v>
      </c>
      <c r="F997" s="8">
        <v>2.2000000000000002</v>
      </c>
      <c r="G997" s="4">
        <v>11</v>
      </c>
      <c r="H997" s="8">
        <v>2.52</v>
      </c>
      <c r="I997" s="4">
        <v>0</v>
      </c>
    </row>
    <row r="998" spans="1:9" x14ac:dyDescent="0.2">
      <c r="A998" s="2">
        <v>11</v>
      </c>
      <c r="B998" s="1" t="s">
        <v>165</v>
      </c>
      <c r="C998" s="4">
        <v>17</v>
      </c>
      <c r="D998" s="8">
        <v>1.99</v>
      </c>
      <c r="E998" s="4">
        <v>12</v>
      </c>
      <c r="F998" s="8">
        <v>2.93</v>
      </c>
      <c r="G998" s="4">
        <v>5</v>
      </c>
      <c r="H998" s="8">
        <v>1.1499999999999999</v>
      </c>
      <c r="I998" s="4">
        <v>0</v>
      </c>
    </row>
    <row r="999" spans="1:9" x14ac:dyDescent="0.2">
      <c r="A999" s="2">
        <v>12</v>
      </c>
      <c r="B999" s="1" t="s">
        <v>167</v>
      </c>
      <c r="C999" s="4">
        <v>16</v>
      </c>
      <c r="D999" s="8">
        <v>1.87</v>
      </c>
      <c r="E999" s="4">
        <v>7</v>
      </c>
      <c r="F999" s="8">
        <v>1.71</v>
      </c>
      <c r="G999" s="4">
        <v>9</v>
      </c>
      <c r="H999" s="8">
        <v>2.06</v>
      </c>
      <c r="I999" s="4">
        <v>0</v>
      </c>
    </row>
    <row r="1000" spans="1:9" x14ac:dyDescent="0.2">
      <c r="A1000" s="2">
        <v>13</v>
      </c>
      <c r="B1000" s="1" t="s">
        <v>149</v>
      </c>
      <c r="C1000" s="4">
        <v>15</v>
      </c>
      <c r="D1000" s="8">
        <v>1.75</v>
      </c>
      <c r="E1000" s="4">
        <v>2</v>
      </c>
      <c r="F1000" s="8">
        <v>0.49</v>
      </c>
      <c r="G1000" s="4">
        <v>13</v>
      </c>
      <c r="H1000" s="8">
        <v>2.98</v>
      </c>
      <c r="I1000" s="4">
        <v>0</v>
      </c>
    </row>
    <row r="1001" spans="1:9" x14ac:dyDescent="0.2">
      <c r="A1001" s="2">
        <v>13</v>
      </c>
      <c r="B1001" s="1" t="s">
        <v>152</v>
      </c>
      <c r="C1001" s="4">
        <v>15</v>
      </c>
      <c r="D1001" s="8">
        <v>1.75</v>
      </c>
      <c r="E1001" s="4">
        <v>2</v>
      </c>
      <c r="F1001" s="8">
        <v>0.49</v>
      </c>
      <c r="G1001" s="4">
        <v>13</v>
      </c>
      <c r="H1001" s="8">
        <v>2.98</v>
      </c>
      <c r="I1001" s="4">
        <v>0</v>
      </c>
    </row>
    <row r="1002" spans="1:9" x14ac:dyDescent="0.2">
      <c r="A1002" s="2">
        <v>15</v>
      </c>
      <c r="B1002" s="1" t="s">
        <v>150</v>
      </c>
      <c r="C1002" s="4">
        <v>14</v>
      </c>
      <c r="D1002" s="8">
        <v>1.64</v>
      </c>
      <c r="E1002" s="4">
        <v>8</v>
      </c>
      <c r="F1002" s="8">
        <v>1.95</v>
      </c>
      <c r="G1002" s="4">
        <v>6</v>
      </c>
      <c r="H1002" s="8">
        <v>1.38</v>
      </c>
      <c r="I1002" s="4">
        <v>0</v>
      </c>
    </row>
    <row r="1003" spans="1:9" x14ac:dyDescent="0.2">
      <c r="A1003" s="2">
        <v>16</v>
      </c>
      <c r="B1003" s="1" t="s">
        <v>168</v>
      </c>
      <c r="C1003" s="4">
        <v>13</v>
      </c>
      <c r="D1003" s="8">
        <v>1.52</v>
      </c>
      <c r="E1003" s="4">
        <v>1</v>
      </c>
      <c r="F1003" s="8">
        <v>0.24</v>
      </c>
      <c r="G1003" s="4">
        <v>12</v>
      </c>
      <c r="H1003" s="8">
        <v>2.75</v>
      </c>
      <c r="I1003" s="4">
        <v>0</v>
      </c>
    </row>
    <row r="1004" spans="1:9" x14ac:dyDescent="0.2">
      <c r="A1004" s="2">
        <v>17</v>
      </c>
      <c r="B1004" s="1" t="s">
        <v>154</v>
      </c>
      <c r="C1004" s="4">
        <v>12</v>
      </c>
      <c r="D1004" s="8">
        <v>1.4</v>
      </c>
      <c r="E1004" s="4">
        <v>9</v>
      </c>
      <c r="F1004" s="8">
        <v>2.2000000000000002</v>
      </c>
      <c r="G1004" s="4">
        <v>3</v>
      </c>
      <c r="H1004" s="8">
        <v>0.69</v>
      </c>
      <c r="I1004" s="4">
        <v>0</v>
      </c>
    </row>
    <row r="1005" spans="1:9" x14ac:dyDescent="0.2">
      <c r="A1005" s="2">
        <v>17</v>
      </c>
      <c r="B1005" s="1" t="s">
        <v>210</v>
      </c>
      <c r="C1005" s="4">
        <v>12</v>
      </c>
      <c r="D1005" s="8">
        <v>1.4</v>
      </c>
      <c r="E1005" s="4">
        <v>1</v>
      </c>
      <c r="F1005" s="8">
        <v>0.24</v>
      </c>
      <c r="G1005" s="4">
        <v>11</v>
      </c>
      <c r="H1005" s="8">
        <v>2.52</v>
      </c>
      <c r="I1005" s="4">
        <v>0</v>
      </c>
    </row>
    <row r="1006" spans="1:9" x14ac:dyDescent="0.2">
      <c r="A1006" s="2">
        <v>17</v>
      </c>
      <c r="B1006" s="1" t="s">
        <v>171</v>
      </c>
      <c r="C1006" s="4">
        <v>12</v>
      </c>
      <c r="D1006" s="8">
        <v>1.4</v>
      </c>
      <c r="E1006" s="4">
        <v>0</v>
      </c>
      <c r="F1006" s="8">
        <v>0</v>
      </c>
      <c r="G1006" s="4">
        <v>12</v>
      </c>
      <c r="H1006" s="8">
        <v>2.75</v>
      </c>
      <c r="I1006" s="4">
        <v>0</v>
      </c>
    </row>
    <row r="1007" spans="1:9" x14ac:dyDescent="0.2">
      <c r="A1007" s="2">
        <v>20</v>
      </c>
      <c r="B1007" s="1" t="s">
        <v>178</v>
      </c>
      <c r="C1007" s="4">
        <v>11</v>
      </c>
      <c r="D1007" s="8">
        <v>1.29</v>
      </c>
      <c r="E1007" s="4">
        <v>2</v>
      </c>
      <c r="F1007" s="8">
        <v>0.49</v>
      </c>
      <c r="G1007" s="4">
        <v>9</v>
      </c>
      <c r="H1007" s="8">
        <v>2.06</v>
      </c>
      <c r="I1007" s="4">
        <v>0</v>
      </c>
    </row>
    <row r="1008" spans="1:9" x14ac:dyDescent="0.2">
      <c r="A1008" s="2">
        <v>20</v>
      </c>
      <c r="B1008" s="1" t="s">
        <v>173</v>
      </c>
      <c r="C1008" s="4">
        <v>11</v>
      </c>
      <c r="D1008" s="8">
        <v>1.29</v>
      </c>
      <c r="E1008" s="4">
        <v>7</v>
      </c>
      <c r="F1008" s="8">
        <v>1.71</v>
      </c>
      <c r="G1008" s="4">
        <v>4</v>
      </c>
      <c r="H1008" s="8">
        <v>0.92</v>
      </c>
      <c r="I1008" s="4">
        <v>0</v>
      </c>
    </row>
    <row r="1009" spans="1:9" x14ac:dyDescent="0.2">
      <c r="A1009" s="2">
        <v>20</v>
      </c>
      <c r="B1009" s="1" t="s">
        <v>179</v>
      </c>
      <c r="C1009" s="4">
        <v>11</v>
      </c>
      <c r="D1009" s="8">
        <v>1.29</v>
      </c>
      <c r="E1009" s="4">
        <v>2</v>
      </c>
      <c r="F1009" s="8">
        <v>0.49</v>
      </c>
      <c r="G1009" s="4">
        <v>9</v>
      </c>
      <c r="H1009" s="8">
        <v>2.06</v>
      </c>
      <c r="I1009" s="4">
        <v>0</v>
      </c>
    </row>
    <row r="1010" spans="1:9" x14ac:dyDescent="0.2">
      <c r="A1010" s="1"/>
      <c r="C1010" s="4"/>
      <c r="D1010" s="8"/>
      <c r="E1010" s="4"/>
      <c r="F1010" s="8"/>
      <c r="G1010" s="4"/>
      <c r="H1010" s="8"/>
      <c r="I1010" s="4"/>
    </row>
    <row r="1011" spans="1:9" x14ac:dyDescent="0.2">
      <c r="A1011" s="1" t="s">
        <v>44</v>
      </c>
      <c r="C1011" s="4"/>
      <c r="D1011" s="8"/>
      <c r="E1011" s="4"/>
      <c r="F1011" s="8"/>
      <c r="G1011" s="4"/>
      <c r="H1011" s="8"/>
      <c r="I1011" s="4"/>
    </row>
    <row r="1012" spans="1:9" x14ac:dyDescent="0.2">
      <c r="A1012" s="2">
        <v>1</v>
      </c>
      <c r="B1012" s="1" t="s">
        <v>163</v>
      </c>
      <c r="C1012" s="4">
        <v>20</v>
      </c>
      <c r="D1012" s="8">
        <v>4.96</v>
      </c>
      <c r="E1012" s="4">
        <v>18</v>
      </c>
      <c r="F1012" s="8">
        <v>10.47</v>
      </c>
      <c r="G1012" s="4">
        <v>2</v>
      </c>
      <c r="H1012" s="8">
        <v>0.88</v>
      </c>
      <c r="I1012" s="4">
        <v>0</v>
      </c>
    </row>
    <row r="1013" spans="1:9" x14ac:dyDescent="0.2">
      <c r="A1013" s="2">
        <v>2</v>
      </c>
      <c r="B1013" s="1" t="s">
        <v>158</v>
      </c>
      <c r="C1013" s="4">
        <v>18</v>
      </c>
      <c r="D1013" s="8">
        <v>4.47</v>
      </c>
      <c r="E1013" s="4">
        <v>10</v>
      </c>
      <c r="F1013" s="8">
        <v>5.81</v>
      </c>
      <c r="G1013" s="4">
        <v>8</v>
      </c>
      <c r="H1013" s="8">
        <v>3.54</v>
      </c>
      <c r="I1013" s="4">
        <v>0</v>
      </c>
    </row>
    <row r="1014" spans="1:9" x14ac:dyDescent="0.2">
      <c r="A1014" s="2">
        <v>3</v>
      </c>
      <c r="B1014" s="1" t="s">
        <v>177</v>
      </c>
      <c r="C1014" s="4">
        <v>15</v>
      </c>
      <c r="D1014" s="8">
        <v>3.72</v>
      </c>
      <c r="E1014" s="4">
        <v>2</v>
      </c>
      <c r="F1014" s="8">
        <v>1.1599999999999999</v>
      </c>
      <c r="G1014" s="4">
        <v>13</v>
      </c>
      <c r="H1014" s="8">
        <v>5.75</v>
      </c>
      <c r="I1014" s="4">
        <v>0</v>
      </c>
    </row>
    <row r="1015" spans="1:9" x14ac:dyDescent="0.2">
      <c r="A1015" s="2">
        <v>3</v>
      </c>
      <c r="B1015" s="1" t="s">
        <v>161</v>
      </c>
      <c r="C1015" s="4">
        <v>15</v>
      </c>
      <c r="D1015" s="8">
        <v>3.72</v>
      </c>
      <c r="E1015" s="4">
        <v>12</v>
      </c>
      <c r="F1015" s="8">
        <v>6.98</v>
      </c>
      <c r="G1015" s="4">
        <v>3</v>
      </c>
      <c r="H1015" s="8">
        <v>1.33</v>
      </c>
      <c r="I1015" s="4">
        <v>0</v>
      </c>
    </row>
    <row r="1016" spans="1:9" x14ac:dyDescent="0.2">
      <c r="A1016" s="2">
        <v>3</v>
      </c>
      <c r="B1016" s="1" t="s">
        <v>164</v>
      </c>
      <c r="C1016" s="4">
        <v>15</v>
      </c>
      <c r="D1016" s="8">
        <v>3.72</v>
      </c>
      <c r="E1016" s="4">
        <v>15</v>
      </c>
      <c r="F1016" s="8">
        <v>8.7200000000000006</v>
      </c>
      <c r="G1016" s="4">
        <v>0</v>
      </c>
      <c r="H1016" s="8">
        <v>0</v>
      </c>
      <c r="I1016" s="4">
        <v>0</v>
      </c>
    </row>
    <row r="1017" spans="1:9" x14ac:dyDescent="0.2">
      <c r="A1017" s="2">
        <v>6</v>
      </c>
      <c r="B1017" s="1" t="s">
        <v>155</v>
      </c>
      <c r="C1017" s="4">
        <v>13</v>
      </c>
      <c r="D1017" s="8">
        <v>3.23</v>
      </c>
      <c r="E1017" s="4">
        <v>3</v>
      </c>
      <c r="F1017" s="8">
        <v>1.74</v>
      </c>
      <c r="G1017" s="4">
        <v>10</v>
      </c>
      <c r="H1017" s="8">
        <v>4.42</v>
      </c>
      <c r="I1017" s="4">
        <v>0</v>
      </c>
    </row>
    <row r="1018" spans="1:9" x14ac:dyDescent="0.2">
      <c r="A1018" s="2">
        <v>7</v>
      </c>
      <c r="B1018" s="1" t="s">
        <v>185</v>
      </c>
      <c r="C1018" s="4">
        <v>12</v>
      </c>
      <c r="D1018" s="8">
        <v>2.98</v>
      </c>
      <c r="E1018" s="4">
        <v>1</v>
      </c>
      <c r="F1018" s="8">
        <v>0.57999999999999996</v>
      </c>
      <c r="G1018" s="4">
        <v>11</v>
      </c>
      <c r="H1018" s="8">
        <v>4.87</v>
      </c>
      <c r="I1018" s="4">
        <v>0</v>
      </c>
    </row>
    <row r="1019" spans="1:9" x14ac:dyDescent="0.2">
      <c r="A1019" s="2">
        <v>8</v>
      </c>
      <c r="B1019" s="1" t="s">
        <v>211</v>
      </c>
      <c r="C1019" s="4">
        <v>11</v>
      </c>
      <c r="D1019" s="8">
        <v>2.73</v>
      </c>
      <c r="E1019" s="4">
        <v>1</v>
      </c>
      <c r="F1019" s="8">
        <v>0.57999999999999996</v>
      </c>
      <c r="G1019" s="4">
        <v>10</v>
      </c>
      <c r="H1019" s="8">
        <v>4.42</v>
      </c>
      <c r="I1019" s="4">
        <v>0</v>
      </c>
    </row>
    <row r="1020" spans="1:9" x14ac:dyDescent="0.2">
      <c r="A1020" s="2">
        <v>8</v>
      </c>
      <c r="B1020" s="1" t="s">
        <v>199</v>
      </c>
      <c r="C1020" s="4">
        <v>11</v>
      </c>
      <c r="D1020" s="8">
        <v>2.73</v>
      </c>
      <c r="E1020" s="4">
        <v>10</v>
      </c>
      <c r="F1020" s="8">
        <v>5.81</v>
      </c>
      <c r="G1020" s="4">
        <v>1</v>
      </c>
      <c r="H1020" s="8">
        <v>0.44</v>
      </c>
      <c r="I1020" s="4">
        <v>0</v>
      </c>
    </row>
    <row r="1021" spans="1:9" x14ac:dyDescent="0.2">
      <c r="A1021" s="2">
        <v>10</v>
      </c>
      <c r="B1021" s="1" t="s">
        <v>202</v>
      </c>
      <c r="C1021" s="4">
        <v>10</v>
      </c>
      <c r="D1021" s="8">
        <v>2.48</v>
      </c>
      <c r="E1021" s="4">
        <v>3</v>
      </c>
      <c r="F1021" s="8">
        <v>1.74</v>
      </c>
      <c r="G1021" s="4">
        <v>7</v>
      </c>
      <c r="H1021" s="8">
        <v>3.1</v>
      </c>
      <c r="I1021" s="4">
        <v>0</v>
      </c>
    </row>
    <row r="1022" spans="1:9" x14ac:dyDescent="0.2">
      <c r="A1022" s="2">
        <v>11</v>
      </c>
      <c r="B1022" s="1" t="s">
        <v>162</v>
      </c>
      <c r="C1022" s="4">
        <v>9</v>
      </c>
      <c r="D1022" s="8">
        <v>2.23</v>
      </c>
      <c r="E1022" s="4">
        <v>9</v>
      </c>
      <c r="F1022" s="8">
        <v>5.23</v>
      </c>
      <c r="G1022" s="4">
        <v>0</v>
      </c>
      <c r="H1022" s="8">
        <v>0</v>
      </c>
      <c r="I1022" s="4">
        <v>0</v>
      </c>
    </row>
    <row r="1023" spans="1:9" x14ac:dyDescent="0.2">
      <c r="A1023" s="2">
        <v>11</v>
      </c>
      <c r="B1023" s="1" t="s">
        <v>166</v>
      </c>
      <c r="C1023" s="4">
        <v>9</v>
      </c>
      <c r="D1023" s="8">
        <v>2.23</v>
      </c>
      <c r="E1023" s="4">
        <v>9</v>
      </c>
      <c r="F1023" s="8">
        <v>5.23</v>
      </c>
      <c r="G1023" s="4">
        <v>0</v>
      </c>
      <c r="H1023" s="8">
        <v>0</v>
      </c>
      <c r="I1023" s="4">
        <v>0</v>
      </c>
    </row>
    <row r="1024" spans="1:9" x14ac:dyDescent="0.2">
      <c r="A1024" s="2">
        <v>13</v>
      </c>
      <c r="B1024" s="1" t="s">
        <v>156</v>
      </c>
      <c r="C1024" s="4">
        <v>8</v>
      </c>
      <c r="D1024" s="8">
        <v>1.99</v>
      </c>
      <c r="E1024" s="4">
        <v>4</v>
      </c>
      <c r="F1024" s="8">
        <v>2.33</v>
      </c>
      <c r="G1024" s="4">
        <v>4</v>
      </c>
      <c r="H1024" s="8">
        <v>1.77</v>
      </c>
      <c r="I1024" s="4">
        <v>0</v>
      </c>
    </row>
    <row r="1025" spans="1:9" x14ac:dyDescent="0.2">
      <c r="A1025" s="2">
        <v>14</v>
      </c>
      <c r="B1025" s="1" t="s">
        <v>165</v>
      </c>
      <c r="C1025" s="4">
        <v>7</v>
      </c>
      <c r="D1025" s="8">
        <v>1.74</v>
      </c>
      <c r="E1025" s="4">
        <v>7</v>
      </c>
      <c r="F1025" s="8">
        <v>4.07</v>
      </c>
      <c r="G1025" s="4">
        <v>0</v>
      </c>
      <c r="H1025" s="8">
        <v>0</v>
      </c>
      <c r="I1025" s="4">
        <v>0</v>
      </c>
    </row>
    <row r="1026" spans="1:9" x14ac:dyDescent="0.2">
      <c r="A1026" s="2">
        <v>15</v>
      </c>
      <c r="B1026" s="1" t="s">
        <v>150</v>
      </c>
      <c r="C1026" s="4">
        <v>6</v>
      </c>
      <c r="D1026" s="8">
        <v>1.49</v>
      </c>
      <c r="E1026" s="4">
        <v>0</v>
      </c>
      <c r="F1026" s="8">
        <v>0</v>
      </c>
      <c r="G1026" s="4">
        <v>6</v>
      </c>
      <c r="H1026" s="8">
        <v>2.65</v>
      </c>
      <c r="I1026" s="4">
        <v>0</v>
      </c>
    </row>
    <row r="1027" spans="1:9" x14ac:dyDescent="0.2">
      <c r="A1027" s="2">
        <v>15</v>
      </c>
      <c r="B1027" s="1" t="s">
        <v>168</v>
      </c>
      <c r="C1027" s="4">
        <v>6</v>
      </c>
      <c r="D1027" s="8">
        <v>1.49</v>
      </c>
      <c r="E1027" s="4">
        <v>3</v>
      </c>
      <c r="F1027" s="8">
        <v>1.74</v>
      </c>
      <c r="G1027" s="4">
        <v>3</v>
      </c>
      <c r="H1027" s="8">
        <v>1.33</v>
      </c>
      <c r="I1027" s="4">
        <v>0</v>
      </c>
    </row>
    <row r="1028" spans="1:9" x14ac:dyDescent="0.2">
      <c r="A1028" s="2">
        <v>17</v>
      </c>
      <c r="B1028" s="1" t="s">
        <v>206</v>
      </c>
      <c r="C1028" s="4">
        <v>5</v>
      </c>
      <c r="D1028" s="8">
        <v>1.24</v>
      </c>
      <c r="E1028" s="4">
        <v>0</v>
      </c>
      <c r="F1028" s="8">
        <v>0</v>
      </c>
      <c r="G1028" s="4">
        <v>5</v>
      </c>
      <c r="H1028" s="8">
        <v>2.21</v>
      </c>
      <c r="I1028" s="4">
        <v>0</v>
      </c>
    </row>
    <row r="1029" spans="1:9" x14ac:dyDescent="0.2">
      <c r="A1029" s="2">
        <v>17</v>
      </c>
      <c r="B1029" s="1" t="s">
        <v>204</v>
      </c>
      <c r="C1029" s="4">
        <v>5</v>
      </c>
      <c r="D1029" s="8">
        <v>1.24</v>
      </c>
      <c r="E1029" s="4">
        <v>2</v>
      </c>
      <c r="F1029" s="8">
        <v>1.1599999999999999</v>
      </c>
      <c r="G1029" s="4">
        <v>3</v>
      </c>
      <c r="H1029" s="8">
        <v>1.33</v>
      </c>
      <c r="I1029" s="4">
        <v>0</v>
      </c>
    </row>
    <row r="1030" spans="1:9" x14ac:dyDescent="0.2">
      <c r="A1030" s="2">
        <v>17</v>
      </c>
      <c r="B1030" s="1" t="s">
        <v>212</v>
      </c>
      <c r="C1030" s="4">
        <v>5</v>
      </c>
      <c r="D1030" s="8">
        <v>1.24</v>
      </c>
      <c r="E1030" s="4">
        <v>0</v>
      </c>
      <c r="F1030" s="8">
        <v>0</v>
      </c>
      <c r="G1030" s="4">
        <v>5</v>
      </c>
      <c r="H1030" s="8">
        <v>2.21</v>
      </c>
      <c r="I1030" s="4">
        <v>0</v>
      </c>
    </row>
    <row r="1031" spans="1:9" x14ac:dyDescent="0.2">
      <c r="A1031" s="2">
        <v>17</v>
      </c>
      <c r="B1031" s="1" t="s">
        <v>213</v>
      </c>
      <c r="C1031" s="4">
        <v>5</v>
      </c>
      <c r="D1031" s="8">
        <v>1.24</v>
      </c>
      <c r="E1031" s="4">
        <v>0</v>
      </c>
      <c r="F1031" s="8">
        <v>0</v>
      </c>
      <c r="G1031" s="4">
        <v>5</v>
      </c>
      <c r="H1031" s="8">
        <v>2.21</v>
      </c>
      <c r="I1031" s="4">
        <v>0</v>
      </c>
    </row>
    <row r="1032" spans="1:9" x14ac:dyDescent="0.2">
      <c r="A1032" s="2">
        <v>17</v>
      </c>
      <c r="B1032" s="1" t="s">
        <v>171</v>
      </c>
      <c r="C1032" s="4">
        <v>5</v>
      </c>
      <c r="D1032" s="8">
        <v>1.24</v>
      </c>
      <c r="E1032" s="4">
        <v>1</v>
      </c>
      <c r="F1032" s="8">
        <v>0.57999999999999996</v>
      </c>
      <c r="G1032" s="4">
        <v>4</v>
      </c>
      <c r="H1032" s="8">
        <v>1.77</v>
      </c>
      <c r="I1032" s="4">
        <v>0</v>
      </c>
    </row>
    <row r="1033" spans="1:9" x14ac:dyDescent="0.2">
      <c r="A1033" s="2">
        <v>17</v>
      </c>
      <c r="B1033" s="1" t="s">
        <v>192</v>
      </c>
      <c r="C1033" s="4">
        <v>5</v>
      </c>
      <c r="D1033" s="8">
        <v>1.24</v>
      </c>
      <c r="E1033" s="4">
        <v>4</v>
      </c>
      <c r="F1033" s="8">
        <v>2.33</v>
      </c>
      <c r="G1033" s="4">
        <v>1</v>
      </c>
      <c r="H1033" s="8">
        <v>0.44</v>
      </c>
      <c r="I1033" s="4">
        <v>0</v>
      </c>
    </row>
    <row r="1034" spans="1:9" x14ac:dyDescent="0.2">
      <c r="A1034" s="2">
        <v>17</v>
      </c>
      <c r="B1034" s="1" t="s">
        <v>169</v>
      </c>
      <c r="C1034" s="4">
        <v>5</v>
      </c>
      <c r="D1034" s="8">
        <v>1.24</v>
      </c>
      <c r="E1034" s="4">
        <v>2</v>
      </c>
      <c r="F1034" s="8">
        <v>1.1599999999999999</v>
      </c>
      <c r="G1034" s="4">
        <v>3</v>
      </c>
      <c r="H1034" s="8">
        <v>1.33</v>
      </c>
      <c r="I1034" s="4">
        <v>0</v>
      </c>
    </row>
    <row r="1035" spans="1:9" x14ac:dyDescent="0.2">
      <c r="A1035" s="2">
        <v>17</v>
      </c>
      <c r="B1035" s="1" t="s">
        <v>180</v>
      </c>
      <c r="C1035" s="4">
        <v>5</v>
      </c>
      <c r="D1035" s="8">
        <v>1.24</v>
      </c>
      <c r="E1035" s="4">
        <v>5</v>
      </c>
      <c r="F1035" s="8">
        <v>2.91</v>
      </c>
      <c r="G1035" s="4">
        <v>0</v>
      </c>
      <c r="H1035" s="8">
        <v>0</v>
      </c>
      <c r="I1035" s="4">
        <v>0</v>
      </c>
    </row>
    <row r="1036" spans="1:9" x14ac:dyDescent="0.2">
      <c r="A1036" s="2">
        <v>17</v>
      </c>
      <c r="B1036" s="1" t="s">
        <v>181</v>
      </c>
      <c r="C1036" s="4">
        <v>5</v>
      </c>
      <c r="D1036" s="8">
        <v>1.24</v>
      </c>
      <c r="E1036" s="4">
        <v>0</v>
      </c>
      <c r="F1036" s="8">
        <v>0</v>
      </c>
      <c r="G1036" s="4">
        <v>5</v>
      </c>
      <c r="H1036" s="8">
        <v>2.21</v>
      </c>
      <c r="I1036" s="4">
        <v>0</v>
      </c>
    </row>
    <row r="1037" spans="1:9" x14ac:dyDescent="0.2">
      <c r="A1037" s="2">
        <v>17</v>
      </c>
      <c r="B1037" s="1" t="s">
        <v>167</v>
      </c>
      <c r="C1037" s="4">
        <v>5</v>
      </c>
      <c r="D1037" s="8">
        <v>1.24</v>
      </c>
      <c r="E1037" s="4">
        <v>3</v>
      </c>
      <c r="F1037" s="8">
        <v>1.74</v>
      </c>
      <c r="G1037" s="4">
        <v>2</v>
      </c>
      <c r="H1037" s="8">
        <v>0.88</v>
      </c>
      <c r="I1037" s="4">
        <v>0</v>
      </c>
    </row>
    <row r="1038" spans="1:9" x14ac:dyDescent="0.2">
      <c r="A1038" s="1"/>
      <c r="C1038" s="4"/>
      <c r="D1038" s="8"/>
      <c r="E1038" s="4"/>
      <c r="F1038" s="8"/>
      <c r="G1038" s="4"/>
      <c r="H1038" s="8"/>
      <c r="I1038" s="4"/>
    </row>
    <row r="1039" spans="1:9" x14ac:dyDescent="0.2">
      <c r="A1039" s="1" t="s">
        <v>45</v>
      </c>
      <c r="C1039" s="4"/>
      <c r="D1039" s="8"/>
      <c r="E1039" s="4"/>
      <c r="F1039" s="8"/>
      <c r="G1039" s="4"/>
      <c r="H1039" s="8"/>
      <c r="I1039" s="4"/>
    </row>
    <row r="1040" spans="1:9" x14ac:dyDescent="0.2">
      <c r="A1040" s="2">
        <v>1</v>
      </c>
      <c r="B1040" s="1" t="s">
        <v>163</v>
      </c>
      <c r="C1040" s="4">
        <v>16</v>
      </c>
      <c r="D1040" s="8">
        <v>5.73</v>
      </c>
      <c r="E1040" s="4">
        <v>13</v>
      </c>
      <c r="F1040" s="8">
        <v>9.85</v>
      </c>
      <c r="G1040" s="4">
        <v>3</v>
      </c>
      <c r="H1040" s="8">
        <v>2.0699999999999998</v>
      </c>
      <c r="I1040" s="4">
        <v>0</v>
      </c>
    </row>
    <row r="1041" spans="1:9" x14ac:dyDescent="0.2">
      <c r="A1041" s="2">
        <v>1</v>
      </c>
      <c r="B1041" s="1" t="s">
        <v>164</v>
      </c>
      <c r="C1041" s="4">
        <v>16</v>
      </c>
      <c r="D1041" s="8">
        <v>5.73</v>
      </c>
      <c r="E1041" s="4">
        <v>14</v>
      </c>
      <c r="F1041" s="8">
        <v>10.61</v>
      </c>
      <c r="G1041" s="4">
        <v>2</v>
      </c>
      <c r="H1041" s="8">
        <v>1.38</v>
      </c>
      <c r="I1041" s="4">
        <v>0</v>
      </c>
    </row>
    <row r="1042" spans="1:9" x14ac:dyDescent="0.2">
      <c r="A1042" s="2">
        <v>3</v>
      </c>
      <c r="B1042" s="1" t="s">
        <v>166</v>
      </c>
      <c r="C1042" s="4">
        <v>11</v>
      </c>
      <c r="D1042" s="8">
        <v>3.94</v>
      </c>
      <c r="E1042" s="4">
        <v>10</v>
      </c>
      <c r="F1042" s="8">
        <v>7.58</v>
      </c>
      <c r="G1042" s="4">
        <v>1</v>
      </c>
      <c r="H1042" s="8">
        <v>0.69</v>
      </c>
      <c r="I1042" s="4">
        <v>0</v>
      </c>
    </row>
    <row r="1043" spans="1:9" x14ac:dyDescent="0.2">
      <c r="A1043" s="2">
        <v>3</v>
      </c>
      <c r="B1043" s="1" t="s">
        <v>167</v>
      </c>
      <c r="C1043" s="4">
        <v>11</v>
      </c>
      <c r="D1043" s="8">
        <v>3.94</v>
      </c>
      <c r="E1043" s="4">
        <v>6</v>
      </c>
      <c r="F1043" s="8">
        <v>4.55</v>
      </c>
      <c r="G1043" s="4">
        <v>5</v>
      </c>
      <c r="H1043" s="8">
        <v>3.45</v>
      </c>
      <c r="I1043" s="4">
        <v>0</v>
      </c>
    </row>
    <row r="1044" spans="1:9" x14ac:dyDescent="0.2">
      <c r="A1044" s="2">
        <v>5</v>
      </c>
      <c r="B1044" s="1" t="s">
        <v>149</v>
      </c>
      <c r="C1044" s="4">
        <v>8</v>
      </c>
      <c r="D1044" s="8">
        <v>2.87</v>
      </c>
      <c r="E1044" s="4">
        <v>0</v>
      </c>
      <c r="F1044" s="8">
        <v>0</v>
      </c>
      <c r="G1044" s="4">
        <v>8</v>
      </c>
      <c r="H1044" s="8">
        <v>5.52</v>
      </c>
      <c r="I1044" s="4">
        <v>0</v>
      </c>
    </row>
    <row r="1045" spans="1:9" x14ac:dyDescent="0.2">
      <c r="A1045" s="2">
        <v>6</v>
      </c>
      <c r="B1045" s="1" t="s">
        <v>150</v>
      </c>
      <c r="C1045" s="4">
        <v>7</v>
      </c>
      <c r="D1045" s="8">
        <v>2.5099999999999998</v>
      </c>
      <c r="E1045" s="4">
        <v>5</v>
      </c>
      <c r="F1045" s="8">
        <v>3.79</v>
      </c>
      <c r="G1045" s="4">
        <v>2</v>
      </c>
      <c r="H1045" s="8">
        <v>1.38</v>
      </c>
      <c r="I1045" s="4">
        <v>0</v>
      </c>
    </row>
    <row r="1046" spans="1:9" x14ac:dyDescent="0.2">
      <c r="A1046" s="2">
        <v>6</v>
      </c>
      <c r="B1046" s="1" t="s">
        <v>190</v>
      </c>
      <c r="C1046" s="4">
        <v>7</v>
      </c>
      <c r="D1046" s="8">
        <v>2.5099999999999998</v>
      </c>
      <c r="E1046" s="4">
        <v>5</v>
      </c>
      <c r="F1046" s="8">
        <v>3.79</v>
      </c>
      <c r="G1046" s="4">
        <v>2</v>
      </c>
      <c r="H1046" s="8">
        <v>1.38</v>
      </c>
      <c r="I1046" s="4">
        <v>0</v>
      </c>
    </row>
    <row r="1047" spans="1:9" x14ac:dyDescent="0.2">
      <c r="A1047" s="2">
        <v>6</v>
      </c>
      <c r="B1047" s="1" t="s">
        <v>162</v>
      </c>
      <c r="C1047" s="4">
        <v>7</v>
      </c>
      <c r="D1047" s="8">
        <v>2.5099999999999998</v>
      </c>
      <c r="E1047" s="4">
        <v>7</v>
      </c>
      <c r="F1047" s="8">
        <v>5.3</v>
      </c>
      <c r="G1047" s="4">
        <v>0</v>
      </c>
      <c r="H1047" s="8">
        <v>0</v>
      </c>
      <c r="I1047" s="4">
        <v>0</v>
      </c>
    </row>
    <row r="1048" spans="1:9" x14ac:dyDescent="0.2">
      <c r="A1048" s="2">
        <v>9</v>
      </c>
      <c r="B1048" s="1" t="s">
        <v>148</v>
      </c>
      <c r="C1048" s="4">
        <v>6</v>
      </c>
      <c r="D1048" s="8">
        <v>2.15</v>
      </c>
      <c r="E1048" s="4">
        <v>0</v>
      </c>
      <c r="F1048" s="8">
        <v>0</v>
      </c>
      <c r="G1048" s="4">
        <v>6</v>
      </c>
      <c r="H1048" s="8">
        <v>4.1399999999999997</v>
      </c>
      <c r="I1048" s="4">
        <v>0</v>
      </c>
    </row>
    <row r="1049" spans="1:9" x14ac:dyDescent="0.2">
      <c r="A1049" s="2">
        <v>9</v>
      </c>
      <c r="B1049" s="1" t="s">
        <v>152</v>
      </c>
      <c r="C1049" s="4">
        <v>6</v>
      </c>
      <c r="D1049" s="8">
        <v>2.15</v>
      </c>
      <c r="E1049" s="4">
        <v>1</v>
      </c>
      <c r="F1049" s="8">
        <v>0.76</v>
      </c>
      <c r="G1049" s="4">
        <v>5</v>
      </c>
      <c r="H1049" s="8">
        <v>3.45</v>
      </c>
      <c r="I1049" s="4">
        <v>0</v>
      </c>
    </row>
    <row r="1050" spans="1:9" x14ac:dyDescent="0.2">
      <c r="A1050" s="2">
        <v>9</v>
      </c>
      <c r="B1050" s="1" t="s">
        <v>160</v>
      </c>
      <c r="C1050" s="4">
        <v>6</v>
      </c>
      <c r="D1050" s="8">
        <v>2.15</v>
      </c>
      <c r="E1050" s="4">
        <v>3</v>
      </c>
      <c r="F1050" s="8">
        <v>2.27</v>
      </c>
      <c r="G1050" s="4">
        <v>2</v>
      </c>
      <c r="H1050" s="8">
        <v>1.38</v>
      </c>
      <c r="I1050" s="4">
        <v>0</v>
      </c>
    </row>
    <row r="1051" spans="1:9" x14ac:dyDescent="0.2">
      <c r="A1051" s="2">
        <v>12</v>
      </c>
      <c r="B1051" s="1" t="s">
        <v>174</v>
      </c>
      <c r="C1051" s="4">
        <v>5</v>
      </c>
      <c r="D1051" s="8">
        <v>1.79</v>
      </c>
      <c r="E1051" s="4">
        <v>3</v>
      </c>
      <c r="F1051" s="8">
        <v>2.27</v>
      </c>
      <c r="G1051" s="4">
        <v>2</v>
      </c>
      <c r="H1051" s="8">
        <v>1.38</v>
      </c>
      <c r="I1051" s="4">
        <v>0</v>
      </c>
    </row>
    <row r="1052" spans="1:9" x14ac:dyDescent="0.2">
      <c r="A1052" s="2">
        <v>12</v>
      </c>
      <c r="B1052" s="1" t="s">
        <v>153</v>
      </c>
      <c r="C1052" s="4">
        <v>5</v>
      </c>
      <c r="D1052" s="8">
        <v>1.79</v>
      </c>
      <c r="E1052" s="4">
        <v>3</v>
      </c>
      <c r="F1052" s="8">
        <v>2.27</v>
      </c>
      <c r="G1052" s="4">
        <v>2</v>
      </c>
      <c r="H1052" s="8">
        <v>1.38</v>
      </c>
      <c r="I1052" s="4">
        <v>0</v>
      </c>
    </row>
    <row r="1053" spans="1:9" x14ac:dyDescent="0.2">
      <c r="A1053" s="2">
        <v>12</v>
      </c>
      <c r="B1053" s="1" t="s">
        <v>207</v>
      </c>
      <c r="C1053" s="4">
        <v>5</v>
      </c>
      <c r="D1053" s="8">
        <v>1.79</v>
      </c>
      <c r="E1053" s="4">
        <v>1</v>
      </c>
      <c r="F1053" s="8">
        <v>0.76</v>
      </c>
      <c r="G1053" s="4">
        <v>4</v>
      </c>
      <c r="H1053" s="8">
        <v>2.76</v>
      </c>
      <c r="I1053" s="4">
        <v>0</v>
      </c>
    </row>
    <row r="1054" spans="1:9" x14ac:dyDescent="0.2">
      <c r="A1054" s="2">
        <v>12</v>
      </c>
      <c r="B1054" s="1" t="s">
        <v>158</v>
      </c>
      <c r="C1054" s="4">
        <v>5</v>
      </c>
      <c r="D1054" s="8">
        <v>1.79</v>
      </c>
      <c r="E1054" s="4">
        <v>1</v>
      </c>
      <c r="F1054" s="8">
        <v>0.76</v>
      </c>
      <c r="G1054" s="4">
        <v>4</v>
      </c>
      <c r="H1054" s="8">
        <v>2.76</v>
      </c>
      <c r="I1054" s="4">
        <v>0</v>
      </c>
    </row>
    <row r="1055" spans="1:9" x14ac:dyDescent="0.2">
      <c r="A1055" s="2">
        <v>12</v>
      </c>
      <c r="B1055" s="1" t="s">
        <v>178</v>
      </c>
      <c r="C1055" s="4">
        <v>5</v>
      </c>
      <c r="D1055" s="8">
        <v>1.79</v>
      </c>
      <c r="E1055" s="4">
        <v>0</v>
      </c>
      <c r="F1055" s="8">
        <v>0</v>
      </c>
      <c r="G1055" s="4">
        <v>5</v>
      </c>
      <c r="H1055" s="8">
        <v>3.45</v>
      </c>
      <c r="I1055" s="4">
        <v>0</v>
      </c>
    </row>
    <row r="1056" spans="1:9" x14ac:dyDescent="0.2">
      <c r="A1056" s="2">
        <v>17</v>
      </c>
      <c r="B1056" s="1" t="s">
        <v>183</v>
      </c>
      <c r="C1056" s="4">
        <v>4</v>
      </c>
      <c r="D1056" s="8">
        <v>1.43</v>
      </c>
      <c r="E1056" s="4">
        <v>0</v>
      </c>
      <c r="F1056" s="8">
        <v>0</v>
      </c>
      <c r="G1056" s="4">
        <v>4</v>
      </c>
      <c r="H1056" s="8">
        <v>2.76</v>
      </c>
      <c r="I1056" s="4">
        <v>0</v>
      </c>
    </row>
    <row r="1057" spans="1:9" x14ac:dyDescent="0.2">
      <c r="A1057" s="2">
        <v>17</v>
      </c>
      <c r="B1057" s="1" t="s">
        <v>154</v>
      </c>
      <c r="C1057" s="4">
        <v>4</v>
      </c>
      <c r="D1057" s="8">
        <v>1.43</v>
      </c>
      <c r="E1057" s="4">
        <v>4</v>
      </c>
      <c r="F1057" s="8">
        <v>3.03</v>
      </c>
      <c r="G1057" s="4">
        <v>0</v>
      </c>
      <c r="H1057" s="8">
        <v>0</v>
      </c>
      <c r="I1057" s="4">
        <v>0</v>
      </c>
    </row>
    <row r="1058" spans="1:9" x14ac:dyDescent="0.2">
      <c r="A1058" s="2">
        <v>17</v>
      </c>
      <c r="B1058" s="1" t="s">
        <v>214</v>
      </c>
      <c r="C1058" s="4">
        <v>4</v>
      </c>
      <c r="D1058" s="8">
        <v>1.43</v>
      </c>
      <c r="E1058" s="4">
        <v>0</v>
      </c>
      <c r="F1058" s="8">
        <v>0</v>
      </c>
      <c r="G1058" s="4">
        <v>4</v>
      </c>
      <c r="H1058" s="8">
        <v>2.76</v>
      </c>
      <c r="I1058" s="4">
        <v>0</v>
      </c>
    </row>
    <row r="1059" spans="1:9" x14ac:dyDescent="0.2">
      <c r="A1059" s="2">
        <v>17</v>
      </c>
      <c r="B1059" s="1" t="s">
        <v>156</v>
      </c>
      <c r="C1059" s="4">
        <v>4</v>
      </c>
      <c r="D1059" s="8">
        <v>1.43</v>
      </c>
      <c r="E1059" s="4">
        <v>3</v>
      </c>
      <c r="F1059" s="8">
        <v>2.27</v>
      </c>
      <c r="G1059" s="4">
        <v>1</v>
      </c>
      <c r="H1059" s="8">
        <v>0.69</v>
      </c>
      <c r="I1059" s="4">
        <v>0</v>
      </c>
    </row>
    <row r="1060" spans="1:9" x14ac:dyDescent="0.2">
      <c r="A1060" s="2">
        <v>17</v>
      </c>
      <c r="B1060" s="1" t="s">
        <v>215</v>
      </c>
      <c r="C1060" s="4">
        <v>4</v>
      </c>
      <c r="D1060" s="8">
        <v>1.43</v>
      </c>
      <c r="E1060" s="4">
        <v>0</v>
      </c>
      <c r="F1060" s="8">
        <v>0</v>
      </c>
      <c r="G1060" s="4">
        <v>4</v>
      </c>
      <c r="H1060" s="8">
        <v>2.76</v>
      </c>
      <c r="I1060" s="4">
        <v>0</v>
      </c>
    </row>
    <row r="1061" spans="1:9" x14ac:dyDescent="0.2">
      <c r="A1061" s="2">
        <v>17</v>
      </c>
      <c r="B1061" s="1" t="s">
        <v>161</v>
      </c>
      <c r="C1061" s="4">
        <v>4</v>
      </c>
      <c r="D1061" s="8">
        <v>1.43</v>
      </c>
      <c r="E1061" s="4">
        <v>4</v>
      </c>
      <c r="F1061" s="8">
        <v>3.03</v>
      </c>
      <c r="G1061" s="4">
        <v>0</v>
      </c>
      <c r="H1061" s="8">
        <v>0</v>
      </c>
      <c r="I1061" s="4">
        <v>0</v>
      </c>
    </row>
    <row r="1062" spans="1:9" x14ac:dyDescent="0.2">
      <c r="A1062" s="2">
        <v>17</v>
      </c>
      <c r="B1062" s="1" t="s">
        <v>179</v>
      </c>
      <c r="C1062" s="4">
        <v>4</v>
      </c>
      <c r="D1062" s="8">
        <v>1.43</v>
      </c>
      <c r="E1062" s="4">
        <v>3</v>
      </c>
      <c r="F1062" s="8">
        <v>2.27</v>
      </c>
      <c r="G1062" s="4">
        <v>1</v>
      </c>
      <c r="H1062" s="8">
        <v>0.69</v>
      </c>
      <c r="I1062" s="4">
        <v>0</v>
      </c>
    </row>
    <row r="1063" spans="1:9" x14ac:dyDescent="0.2">
      <c r="A1063" s="2">
        <v>17</v>
      </c>
      <c r="B1063" s="1" t="s">
        <v>165</v>
      </c>
      <c r="C1063" s="4">
        <v>4</v>
      </c>
      <c r="D1063" s="8">
        <v>1.43</v>
      </c>
      <c r="E1063" s="4">
        <v>4</v>
      </c>
      <c r="F1063" s="8">
        <v>3.03</v>
      </c>
      <c r="G1063" s="4">
        <v>0</v>
      </c>
      <c r="H1063" s="8">
        <v>0</v>
      </c>
      <c r="I1063" s="4">
        <v>0</v>
      </c>
    </row>
    <row r="1064" spans="1:9" x14ac:dyDescent="0.2">
      <c r="A1064" s="1"/>
      <c r="C1064" s="4"/>
      <c r="D1064" s="8"/>
      <c r="E1064" s="4"/>
      <c r="F1064" s="8"/>
      <c r="G1064" s="4"/>
      <c r="H1064" s="8"/>
      <c r="I1064" s="4"/>
    </row>
    <row r="1065" spans="1:9" x14ac:dyDescent="0.2">
      <c r="A1065" s="1" t="s">
        <v>46</v>
      </c>
      <c r="C1065" s="4"/>
      <c r="D1065" s="8"/>
      <c r="E1065" s="4"/>
      <c r="F1065" s="8"/>
      <c r="G1065" s="4"/>
      <c r="H1065" s="8"/>
      <c r="I1065" s="4"/>
    </row>
    <row r="1066" spans="1:9" x14ac:dyDescent="0.2">
      <c r="A1066" s="2">
        <v>1</v>
      </c>
      <c r="B1066" s="1" t="s">
        <v>150</v>
      </c>
      <c r="C1066" s="4">
        <v>6</v>
      </c>
      <c r="D1066" s="8">
        <v>4.8</v>
      </c>
      <c r="E1066" s="4">
        <v>5</v>
      </c>
      <c r="F1066" s="8">
        <v>5.95</v>
      </c>
      <c r="G1066" s="4">
        <v>1</v>
      </c>
      <c r="H1066" s="8">
        <v>2.44</v>
      </c>
      <c r="I1066" s="4">
        <v>0</v>
      </c>
    </row>
    <row r="1067" spans="1:9" x14ac:dyDescent="0.2">
      <c r="A1067" s="2">
        <v>1</v>
      </c>
      <c r="B1067" s="1" t="s">
        <v>163</v>
      </c>
      <c r="C1067" s="4">
        <v>6</v>
      </c>
      <c r="D1067" s="8">
        <v>4.8</v>
      </c>
      <c r="E1067" s="4">
        <v>6</v>
      </c>
      <c r="F1067" s="8">
        <v>7.14</v>
      </c>
      <c r="G1067" s="4">
        <v>0</v>
      </c>
      <c r="H1067" s="8">
        <v>0</v>
      </c>
      <c r="I1067" s="4">
        <v>0</v>
      </c>
    </row>
    <row r="1068" spans="1:9" x14ac:dyDescent="0.2">
      <c r="A1068" s="2">
        <v>3</v>
      </c>
      <c r="B1068" s="1" t="s">
        <v>164</v>
      </c>
      <c r="C1068" s="4">
        <v>5</v>
      </c>
      <c r="D1068" s="8">
        <v>4</v>
      </c>
      <c r="E1068" s="4">
        <v>5</v>
      </c>
      <c r="F1068" s="8">
        <v>5.95</v>
      </c>
      <c r="G1068" s="4">
        <v>0</v>
      </c>
      <c r="H1068" s="8">
        <v>0</v>
      </c>
      <c r="I1068" s="4">
        <v>0</v>
      </c>
    </row>
    <row r="1069" spans="1:9" x14ac:dyDescent="0.2">
      <c r="A1069" s="2">
        <v>3</v>
      </c>
      <c r="B1069" s="1" t="s">
        <v>165</v>
      </c>
      <c r="C1069" s="4">
        <v>5</v>
      </c>
      <c r="D1069" s="8">
        <v>4</v>
      </c>
      <c r="E1069" s="4">
        <v>5</v>
      </c>
      <c r="F1069" s="8">
        <v>5.95</v>
      </c>
      <c r="G1069" s="4">
        <v>0</v>
      </c>
      <c r="H1069" s="8">
        <v>0</v>
      </c>
      <c r="I1069" s="4">
        <v>0</v>
      </c>
    </row>
    <row r="1070" spans="1:9" x14ac:dyDescent="0.2">
      <c r="A1070" s="2">
        <v>3</v>
      </c>
      <c r="B1070" s="1" t="s">
        <v>167</v>
      </c>
      <c r="C1070" s="4">
        <v>5</v>
      </c>
      <c r="D1070" s="8">
        <v>4</v>
      </c>
      <c r="E1070" s="4">
        <v>5</v>
      </c>
      <c r="F1070" s="8">
        <v>5.95</v>
      </c>
      <c r="G1070" s="4">
        <v>0</v>
      </c>
      <c r="H1070" s="8">
        <v>0</v>
      </c>
      <c r="I1070" s="4">
        <v>0</v>
      </c>
    </row>
    <row r="1071" spans="1:9" x14ac:dyDescent="0.2">
      <c r="A1071" s="2">
        <v>6</v>
      </c>
      <c r="B1071" s="1" t="s">
        <v>148</v>
      </c>
      <c r="C1071" s="4">
        <v>4</v>
      </c>
      <c r="D1071" s="8">
        <v>3.2</v>
      </c>
      <c r="E1071" s="4">
        <v>0</v>
      </c>
      <c r="F1071" s="8">
        <v>0</v>
      </c>
      <c r="G1071" s="4">
        <v>4</v>
      </c>
      <c r="H1071" s="8">
        <v>9.76</v>
      </c>
      <c r="I1071" s="4">
        <v>0</v>
      </c>
    </row>
    <row r="1072" spans="1:9" x14ac:dyDescent="0.2">
      <c r="A1072" s="2">
        <v>6</v>
      </c>
      <c r="B1072" s="1" t="s">
        <v>154</v>
      </c>
      <c r="C1072" s="4">
        <v>4</v>
      </c>
      <c r="D1072" s="8">
        <v>3.2</v>
      </c>
      <c r="E1072" s="4">
        <v>4</v>
      </c>
      <c r="F1072" s="8">
        <v>4.76</v>
      </c>
      <c r="G1072" s="4">
        <v>0</v>
      </c>
      <c r="H1072" s="8">
        <v>0</v>
      </c>
      <c r="I1072" s="4">
        <v>0</v>
      </c>
    </row>
    <row r="1073" spans="1:9" x14ac:dyDescent="0.2">
      <c r="A1073" s="2">
        <v>6</v>
      </c>
      <c r="B1073" s="1" t="s">
        <v>161</v>
      </c>
      <c r="C1073" s="4">
        <v>4</v>
      </c>
      <c r="D1073" s="8">
        <v>3.2</v>
      </c>
      <c r="E1073" s="4">
        <v>4</v>
      </c>
      <c r="F1073" s="8">
        <v>4.76</v>
      </c>
      <c r="G1073" s="4">
        <v>0</v>
      </c>
      <c r="H1073" s="8">
        <v>0</v>
      </c>
      <c r="I1073" s="4">
        <v>0</v>
      </c>
    </row>
    <row r="1074" spans="1:9" x14ac:dyDescent="0.2">
      <c r="A1074" s="2">
        <v>9</v>
      </c>
      <c r="B1074" s="1" t="s">
        <v>203</v>
      </c>
      <c r="C1074" s="4">
        <v>3</v>
      </c>
      <c r="D1074" s="8">
        <v>2.4</v>
      </c>
      <c r="E1074" s="4">
        <v>1</v>
      </c>
      <c r="F1074" s="8">
        <v>1.19</v>
      </c>
      <c r="G1074" s="4">
        <v>2</v>
      </c>
      <c r="H1074" s="8">
        <v>4.88</v>
      </c>
      <c r="I1074" s="4">
        <v>0</v>
      </c>
    </row>
    <row r="1075" spans="1:9" x14ac:dyDescent="0.2">
      <c r="A1075" s="2">
        <v>9</v>
      </c>
      <c r="B1075" s="1" t="s">
        <v>198</v>
      </c>
      <c r="C1075" s="4">
        <v>3</v>
      </c>
      <c r="D1075" s="8">
        <v>2.4</v>
      </c>
      <c r="E1075" s="4">
        <v>2</v>
      </c>
      <c r="F1075" s="8">
        <v>2.38</v>
      </c>
      <c r="G1075" s="4">
        <v>1</v>
      </c>
      <c r="H1075" s="8">
        <v>2.44</v>
      </c>
      <c r="I1075" s="4">
        <v>0</v>
      </c>
    </row>
    <row r="1076" spans="1:9" x14ac:dyDescent="0.2">
      <c r="A1076" s="2">
        <v>9</v>
      </c>
      <c r="B1076" s="1" t="s">
        <v>190</v>
      </c>
      <c r="C1076" s="4">
        <v>3</v>
      </c>
      <c r="D1076" s="8">
        <v>2.4</v>
      </c>
      <c r="E1076" s="4">
        <v>3</v>
      </c>
      <c r="F1076" s="8">
        <v>3.57</v>
      </c>
      <c r="G1076" s="4">
        <v>0</v>
      </c>
      <c r="H1076" s="8">
        <v>0</v>
      </c>
      <c r="I1076" s="4">
        <v>0</v>
      </c>
    </row>
    <row r="1077" spans="1:9" x14ac:dyDescent="0.2">
      <c r="A1077" s="2">
        <v>9</v>
      </c>
      <c r="B1077" s="1" t="s">
        <v>156</v>
      </c>
      <c r="C1077" s="4">
        <v>3</v>
      </c>
      <c r="D1077" s="8">
        <v>2.4</v>
      </c>
      <c r="E1077" s="4">
        <v>3</v>
      </c>
      <c r="F1077" s="8">
        <v>3.57</v>
      </c>
      <c r="G1077" s="4">
        <v>0</v>
      </c>
      <c r="H1077" s="8">
        <v>0</v>
      </c>
      <c r="I1077" s="4">
        <v>0</v>
      </c>
    </row>
    <row r="1078" spans="1:9" x14ac:dyDescent="0.2">
      <c r="A1078" s="2">
        <v>9</v>
      </c>
      <c r="B1078" s="1" t="s">
        <v>169</v>
      </c>
      <c r="C1078" s="4">
        <v>3</v>
      </c>
      <c r="D1078" s="8">
        <v>2.4</v>
      </c>
      <c r="E1078" s="4">
        <v>3</v>
      </c>
      <c r="F1078" s="8">
        <v>3.57</v>
      </c>
      <c r="G1078" s="4">
        <v>0</v>
      </c>
      <c r="H1078" s="8">
        <v>0</v>
      </c>
      <c r="I1078" s="4">
        <v>0</v>
      </c>
    </row>
    <row r="1079" spans="1:9" x14ac:dyDescent="0.2">
      <c r="A1079" s="2">
        <v>9</v>
      </c>
      <c r="B1079" s="1" t="s">
        <v>166</v>
      </c>
      <c r="C1079" s="4">
        <v>3</v>
      </c>
      <c r="D1079" s="8">
        <v>2.4</v>
      </c>
      <c r="E1079" s="4">
        <v>2</v>
      </c>
      <c r="F1079" s="8">
        <v>2.38</v>
      </c>
      <c r="G1079" s="4">
        <v>1</v>
      </c>
      <c r="H1079" s="8">
        <v>2.44</v>
      </c>
      <c r="I1079" s="4">
        <v>0</v>
      </c>
    </row>
    <row r="1080" spans="1:9" x14ac:dyDescent="0.2">
      <c r="A1080" s="2">
        <v>15</v>
      </c>
      <c r="B1080" s="1" t="s">
        <v>149</v>
      </c>
      <c r="C1080" s="4">
        <v>2</v>
      </c>
      <c r="D1080" s="8">
        <v>1.6</v>
      </c>
      <c r="E1080" s="4">
        <v>1</v>
      </c>
      <c r="F1080" s="8">
        <v>1.19</v>
      </c>
      <c r="G1080" s="4">
        <v>1</v>
      </c>
      <c r="H1080" s="8">
        <v>2.44</v>
      </c>
      <c r="I1080" s="4">
        <v>0</v>
      </c>
    </row>
    <row r="1081" spans="1:9" x14ac:dyDescent="0.2">
      <c r="A1081" s="2">
        <v>15</v>
      </c>
      <c r="B1081" s="1" t="s">
        <v>174</v>
      </c>
      <c r="C1081" s="4">
        <v>2</v>
      </c>
      <c r="D1081" s="8">
        <v>1.6</v>
      </c>
      <c r="E1081" s="4">
        <v>2</v>
      </c>
      <c r="F1081" s="8">
        <v>2.38</v>
      </c>
      <c r="G1081" s="4">
        <v>0</v>
      </c>
      <c r="H1081" s="8">
        <v>0</v>
      </c>
      <c r="I1081" s="4">
        <v>0</v>
      </c>
    </row>
    <row r="1082" spans="1:9" x14ac:dyDescent="0.2">
      <c r="A1082" s="2">
        <v>15</v>
      </c>
      <c r="B1082" s="1" t="s">
        <v>152</v>
      </c>
      <c r="C1082" s="4">
        <v>2</v>
      </c>
      <c r="D1082" s="8">
        <v>1.6</v>
      </c>
      <c r="E1082" s="4">
        <v>1</v>
      </c>
      <c r="F1082" s="8">
        <v>1.19</v>
      </c>
      <c r="G1082" s="4">
        <v>1</v>
      </c>
      <c r="H1082" s="8">
        <v>2.44</v>
      </c>
      <c r="I1082" s="4">
        <v>0</v>
      </c>
    </row>
    <row r="1083" spans="1:9" x14ac:dyDescent="0.2">
      <c r="A1083" s="2">
        <v>15</v>
      </c>
      <c r="B1083" s="1" t="s">
        <v>216</v>
      </c>
      <c r="C1083" s="4">
        <v>2</v>
      </c>
      <c r="D1083" s="8">
        <v>1.6</v>
      </c>
      <c r="E1083" s="4">
        <v>1</v>
      </c>
      <c r="F1083" s="8">
        <v>1.19</v>
      </c>
      <c r="G1083" s="4">
        <v>1</v>
      </c>
      <c r="H1083" s="8">
        <v>2.44</v>
      </c>
      <c r="I1083" s="4">
        <v>0</v>
      </c>
    </row>
    <row r="1084" spans="1:9" x14ac:dyDescent="0.2">
      <c r="A1084" s="2">
        <v>15</v>
      </c>
      <c r="B1084" s="1" t="s">
        <v>217</v>
      </c>
      <c r="C1084" s="4">
        <v>2</v>
      </c>
      <c r="D1084" s="8">
        <v>1.6</v>
      </c>
      <c r="E1084" s="4">
        <v>1</v>
      </c>
      <c r="F1084" s="8">
        <v>1.19</v>
      </c>
      <c r="G1084" s="4">
        <v>1</v>
      </c>
      <c r="H1084" s="8">
        <v>2.44</v>
      </c>
      <c r="I1084" s="4">
        <v>0</v>
      </c>
    </row>
    <row r="1085" spans="1:9" x14ac:dyDescent="0.2">
      <c r="A1085" s="2">
        <v>15</v>
      </c>
      <c r="B1085" s="1" t="s">
        <v>218</v>
      </c>
      <c r="C1085" s="4">
        <v>2</v>
      </c>
      <c r="D1085" s="8">
        <v>1.6</v>
      </c>
      <c r="E1085" s="4">
        <v>1</v>
      </c>
      <c r="F1085" s="8">
        <v>1.19</v>
      </c>
      <c r="G1085" s="4">
        <v>1</v>
      </c>
      <c r="H1085" s="8">
        <v>2.44</v>
      </c>
      <c r="I1085" s="4">
        <v>0</v>
      </c>
    </row>
    <row r="1086" spans="1:9" x14ac:dyDescent="0.2">
      <c r="A1086" s="2">
        <v>15</v>
      </c>
      <c r="B1086" s="1" t="s">
        <v>219</v>
      </c>
      <c r="C1086" s="4">
        <v>2</v>
      </c>
      <c r="D1086" s="8">
        <v>1.6</v>
      </c>
      <c r="E1086" s="4">
        <v>2</v>
      </c>
      <c r="F1086" s="8">
        <v>2.38</v>
      </c>
      <c r="G1086" s="4">
        <v>0</v>
      </c>
      <c r="H1086" s="8">
        <v>0</v>
      </c>
      <c r="I1086" s="4">
        <v>0</v>
      </c>
    </row>
    <row r="1087" spans="1:9" x14ac:dyDescent="0.2">
      <c r="A1087" s="2">
        <v>15</v>
      </c>
      <c r="B1087" s="1" t="s">
        <v>191</v>
      </c>
      <c r="C1087" s="4">
        <v>2</v>
      </c>
      <c r="D1087" s="8">
        <v>1.6</v>
      </c>
      <c r="E1087" s="4">
        <v>1</v>
      </c>
      <c r="F1087" s="8">
        <v>1.19</v>
      </c>
      <c r="G1087" s="4">
        <v>1</v>
      </c>
      <c r="H1087" s="8">
        <v>2.44</v>
      </c>
      <c r="I1087" s="4">
        <v>0</v>
      </c>
    </row>
    <row r="1088" spans="1:9" x14ac:dyDescent="0.2">
      <c r="A1088" s="2">
        <v>15</v>
      </c>
      <c r="B1088" s="1" t="s">
        <v>158</v>
      </c>
      <c r="C1088" s="4">
        <v>2</v>
      </c>
      <c r="D1088" s="8">
        <v>1.6</v>
      </c>
      <c r="E1088" s="4">
        <v>0</v>
      </c>
      <c r="F1088" s="8">
        <v>0</v>
      </c>
      <c r="G1088" s="4">
        <v>2</v>
      </c>
      <c r="H1088" s="8">
        <v>4.88</v>
      </c>
      <c r="I1088" s="4">
        <v>0</v>
      </c>
    </row>
    <row r="1089" spans="1:9" x14ac:dyDescent="0.2">
      <c r="A1089" s="2">
        <v>15</v>
      </c>
      <c r="B1089" s="1" t="s">
        <v>162</v>
      </c>
      <c r="C1089" s="4">
        <v>2</v>
      </c>
      <c r="D1089" s="8">
        <v>1.6</v>
      </c>
      <c r="E1089" s="4">
        <v>2</v>
      </c>
      <c r="F1089" s="8">
        <v>2.38</v>
      </c>
      <c r="G1089" s="4">
        <v>0</v>
      </c>
      <c r="H1089" s="8">
        <v>0</v>
      </c>
      <c r="I1089" s="4">
        <v>0</v>
      </c>
    </row>
    <row r="1090" spans="1:9" x14ac:dyDescent="0.2">
      <c r="A1090" s="2">
        <v>15</v>
      </c>
      <c r="B1090" s="1" t="s">
        <v>220</v>
      </c>
      <c r="C1090" s="4">
        <v>2</v>
      </c>
      <c r="D1090" s="8">
        <v>1.6</v>
      </c>
      <c r="E1090" s="4">
        <v>2</v>
      </c>
      <c r="F1090" s="8">
        <v>2.38</v>
      </c>
      <c r="G1090" s="4">
        <v>0</v>
      </c>
      <c r="H1090" s="8">
        <v>0</v>
      </c>
      <c r="I1090" s="4">
        <v>0</v>
      </c>
    </row>
    <row r="1091" spans="1:9" x14ac:dyDescent="0.2">
      <c r="A1091" s="2">
        <v>15</v>
      </c>
      <c r="B1091" s="1" t="s">
        <v>181</v>
      </c>
      <c r="C1091" s="4">
        <v>2</v>
      </c>
      <c r="D1091" s="8">
        <v>1.6</v>
      </c>
      <c r="E1091" s="4">
        <v>0</v>
      </c>
      <c r="F1091" s="8">
        <v>0</v>
      </c>
      <c r="G1091" s="4">
        <v>2</v>
      </c>
      <c r="H1091" s="8">
        <v>4.88</v>
      </c>
      <c r="I1091" s="4">
        <v>0</v>
      </c>
    </row>
    <row r="1092" spans="1:9" x14ac:dyDescent="0.2">
      <c r="A1092" s="1"/>
      <c r="C1092" s="4"/>
      <c r="D1092" s="8"/>
      <c r="E1092" s="4"/>
      <c r="F1092" s="8"/>
      <c r="G1092" s="4"/>
      <c r="H1092" s="8"/>
      <c r="I1092" s="4"/>
    </row>
    <row r="1093" spans="1:9" x14ac:dyDescent="0.2">
      <c r="A1093" s="1" t="s">
        <v>47</v>
      </c>
      <c r="C1093" s="4"/>
      <c r="D1093" s="8"/>
      <c r="E1093" s="4"/>
      <c r="F1093" s="8"/>
      <c r="G1093" s="4"/>
      <c r="H1093" s="8"/>
      <c r="I1093" s="4"/>
    </row>
    <row r="1094" spans="1:9" x14ac:dyDescent="0.2">
      <c r="A1094" s="2">
        <v>1</v>
      </c>
      <c r="B1094" s="1" t="s">
        <v>163</v>
      </c>
      <c r="C1094" s="4">
        <v>21</v>
      </c>
      <c r="D1094" s="8">
        <v>4.93</v>
      </c>
      <c r="E1094" s="4">
        <v>20</v>
      </c>
      <c r="F1094" s="8">
        <v>7.55</v>
      </c>
      <c r="G1094" s="4">
        <v>1</v>
      </c>
      <c r="H1094" s="8">
        <v>0.63</v>
      </c>
      <c r="I1094" s="4">
        <v>0</v>
      </c>
    </row>
    <row r="1095" spans="1:9" x14ac:dyDescent="0.2">
      <c r="A1095" s="2">
        <v>2</v>
      </c>
      <c r="B1095" s="1" t="s">
        <v>164</v>
      </c>
      <c r="C1095" s="4">
        <v>20</v>
      </c>
      <c r="D1095" s="8">
        <v>4.6900000000000004</v>
      </c>
      <c r="E1095" s="4">
        <v>20</v>
      </c>
      <c r="F1095" s="8">
        <v>7.55</v>
      </c>
      <c r="G1095" s="4">
        <v>0</v>
      </c>
      <c r="H1095" s="8">
        <v>0</v>
      </c>
      <c r="I1095" s="4">
        <v>0</v>
      </c>
    </row>
    <row r="1096" spans="1:9" x14ac:dyDescent="0.2">
      <c r="A1096" s="2">
        <v>3</v>
      </c>
      <c r="B1096" s="1" t="s">
        <v>150</v>
      </c>
      <c r="C1096" s="4">
        <v>19</v>
      </c>
      <c r="D1096" s="8">
        <v>4.46</v>
      </c>
      <c r="E1096" s="4">
        <v>12</v>
      </c>
      <c r="F1096" s="8">
        <v>4.53</v>
      </c>
      <c r="G1096" s="4">
        <v>7</v>
      </c>
      <c r="H1096" s="8">
        <v>4.43</v>
      </c>
      <c r="I1096" s="4">
        <v>0</v>
      </c>
    </row>
    <row r="1097" spans="1:9" x14ac:dyDescent="0.2">
      <c r="A1097" s="2">
        <v>3</v>
      </c>
      <c r="B1097" s="1" t="s">
        <v>158</v>
      </c>
      <c r="C1097" s="4">
        <v>19</v>
      </c>
      <c r="D1097" s="8">
        <v>4.46</v>
      </c>
      <c r="E1097" s="4">
        <v>15</v>
      </c>
      <c r="F1097" s="8">
        <v>5.66</v>
      </c>
      <c r="G1097" s="4">
        <v>4</v>
      </c>
      <c r="H1097" s="8">
        <v>2.5299999999999998</v>
      </c>
      <c r="I1097" s="4">
        <v>0</v>
      </c>
    </row>
    <row r="1098" spans="1:9" x14ac:dyDescent="0.2">
      <c r="A1098" s="2">
        <v>5</v>
      </c>
      <c r="B1098" s="1" t="s">
        <v>148</v>
      </c>
      <c r="C1098" s="4">
        <v>16</v>
      </c>
      <c r="D1098" s="8">
        <v>3.76</v>
      </c>
      <c r="E1098" s="4">
        <v>3</v>
      </c>
      <c r="F1098" s="8">
        <v>1.1299999999999999</v>
      </c>
      <c r="G1098" s="4">
        <v>13</v>
      </c>
      <c r="H1098" s="8">
        <v>8.23</v>
      </c>
      <c r="I1098" s="4">
        <v>0</v>
      </c>
    </row>
    <row r="1099" spans="1:9" x14ac:dyDescent="0.2">
      <c r="A1099" s="2">
        <v>6</v>
      </c>
      <c r="B1099" s="1" t="s">
        <v>167</v>
      </c>
      <c r="C1099" s="4">
        <v>15</v>
      </c>
      <c r="D1099" s="8">
        <v>3.52</v>
      </c>
      <c r="E1099" s="4">
        <v>11</v>
      </c>
      <c r="F1099" s="8">
        <v>4.1500000000000004</v>
      </c>
      <c r="G1099" s="4">
        <v>4</v>
      </c>
      <c r="H1099" s="8">
        <v>2.5299999999999998</v>
      </c>
      <c r="I1099" s="4">
        <v>0</v>
      </c>
    </row>
    <row r="1100" spans="1:9" x14ac:dyDescent="0.2">
      <c r="A1100" s="2">
        <v>7</v>
      </c>
      <c r="B1100" s="1" t="s">
        <v>154</v>
      </c>
      <c r="C1100" s="4">
        <v>14</v>
      </c>
      <c r="D1100" s="8">
        <v>3.29</v>
      </c>
      <c r="E1100" s="4">
        <v>12</v>
      </c>
      <c r="F1100" s="8">
        <v>4.53</v>
      </c>
      <c r="G1100" s="4">
        <v>2</v>
      </c>
      <c r="H1100" s="8">
        <v>1.27</v>
      </c>
      <c r="I1100" s="4">
        <v>0</v>
      </c>
    </row>
    <row r="1101" spans="1:9" x14ac:dyDescent="0.2">
      <c r="A1101" s="2">
        <v>8</v>
      </c>
      <c r="B1101" s="1" t="s">
        <v>197</v>
      </c>
      <c r="C1101" s="4">
        <v>13</v>
      </c>
      <c r="D1101" s="8">
        <v>3.05</v>
      </c>
      <c r="E1101" s="4">
        <v>13</v>
      </c>
      <c r="F1101" s="8">
        <v>4.91</v>
      </c>
      <c r="G1101" s="4">
        <v>0</v>
      </c>
      <c r="H1101" s="8">
        <v>0</v>
      </c>
      <c r="I1101" s="4">
        <v>0</v>
      </c>
    </row>
    <row r="1102" spans="1:9" x14ac:dyDescent="0.2">
      <c r="A1102" s="2">
        <v>9</v>
      </c>
      <c r="B1102" s="1" t="s">
        <v>155</v>
      </c>
      <c r="C1102" s="4">
        <v>10</v>
      </c>
      <c r="D1102" s="8">
        <v>2.35</v>
      </c>
      <c r="E1102" s="4">
        <v>4</v>
      </c>
      <c r="F1102" s="8">
        <v>1.51</v>
      </c>
      <c r="G1102" s="4">
        <v>6</v>
      </c>
      <c r="H1102" s="8">
        <v>3.8</v>
      </c>
      <c r="I1102" s="4">
        <v>0</v>
      </c>
    </row>
    <row r="1103" spans="1:9" x14ac:dyDescent="0.2">
      <c r="A1103" s="2">
        <v>9</v>
      </c>
      <c r="B1103" s="1" t="s">
        <v>191</v>
      </c>
      <c r="C1103" s="4">
        <v>10</v>
      </c>
      <c r="D1103" s="8">
        <v>2.35</v>
      </c>
      <c r="E1103" s="4">
        <v>7</v>
      </c>
      <c r="F1103" s="8">
        <v>2.64</v>
      </c>
      <c r="G1103" s="4">
        <v>3</v>
      </c>
      <c r="H1103" s="8">
        <v>1.9</v>
      </c>
      <c r="I1103" s="4">
        <v>0</v>
      </c>
    </row>
    <row r="1104" spans="1:9" x14ac:dyDescent="0.2">
      <c r="A1104" s="2">
        <v>11</v>
      </c>
      <c r="B1104" s="1" t="s">
        <v>162</v>
      </c>
      <c r="C1104" s="4">
        <v>9</v>
      </c>
      <c r="D1104" s="8">
        <v>2.11</v>
      </c>
      <c r="E1104" s="4">
        <v>9</v>
      </c>
      <c r="F1104" s="8">
        <v>3.4</v>
      </c>
      <c r="G1104" s="4">
        <v>0</v>
      </c>
      <c r="H1104" s="8">
        <v>0</v>
      </c>
      <c r="I1104" s="4">
        <v>0</v>
      </c>
    </row>
    <row r="1105" spans="1:9" x14ac:dyDescent="0.2">
      <c r="A1105" s="2">
        <v>12</v>
      </c>
      <c r="B1105" s="1" t="s">
        <v>152</v>
      </c>
      <c r="C1105" s="4">
        <v>8</v>
      </c>
      <c r="D1105" s="8">
        <v>1.88</v>
      </c>
      <c r="E1105" s="4">
        <v>7</v>
      </c>
      <c r="F1105" s="8">
        <v>2.64</v>
      </c>
      <c r="G1105" s="4">
        <v>1</v>
      </c>
      <c r="H1105" s="8">
        <v>0.63</v>
      </c>
      <c r="I1105" s="4">
        <v>0</v>
      </c>
    </row>
    <row r="1106" spans="1:9" x14ac:dyDescent="0.2">
      <c r="A1106" s="2">
        <v>12</v>
      </c>
      <c r="B1106" s="1" t="s">
        <v>161</v>
      </c>
      <c r="C1106" s="4">
        <v>8</v>
      </c>
      <c r="D1106" s="8">
        <v>1.88</v>
      </c>
      <c r="E1106" s="4">
        <v>7</v>
      </c>
      <c r="F1106" s="8">
        <v>2.64</v>
      </c>
      <c r="G1106" s="4">
        <v>1</v>
      </c>
      <c r="H1106" s="8">
        <v>0.63</v>
      </c>
      <c r="I1106" s="4">
        <v>0</v>
      </c>
    </row>
    <row r="1107" spans="1:9" x14ac:dyDescent="0.2">
      <c r="A1107" s="2">
        <v>14</v>
      </c>
      <c r="B1107" s="1" t="s">
        <v>192</v>
      </c>
      <c r="C1107" s="4">
        <v>7</v>
      </c>
      <c r="D1107" s="8">
        <v>1.64</v>
      </c>
      <c r="E1107" s="4">
        <v>5</v>
      </c>
      <c r="F1107" s="8">
        <v>1.89</v>
      </c>
      <c r="G1107" s="4">
        <v>2</v>
      </c>
      <c r="H1107" s="8">
        <v>1.27</v>
      </c>
      <c r="I1107" s="4">
        <v>0</v>
      </c>
    </row>
    <row r="1108" spans="1:9" x14ac:dyDescent="0.2">
      <c r="A1108" s="2">
        <v>14</v>
      </c>
      <c r="B1108" s="1" t="s">
        <v>166</v>
      </c>
      <c r="C1108" s="4">
        <v>7</v>
      </c>
      <c r="D1108" s="8">
        <v>1.64</v>
      </c>
      <c r="E1108" s="4">
        <v>6</v>
      </c>
      <c r="F1108" s="8">
        <v>2.2599999999999998</v>
      </c>
      <c r="G1108" s="4">
        <v>1</v>
      </c>
      <c r="H1108" s="8">
        <v>0.63</v>
      </c>
      <c r="I1108" s="4">
        <v>0</v>
      </c>
    </row>
    <row r="1109" spans="1:9" x14ac:dyDescent="0.2">
      <c r="A1109" s="2">
        <v>16</v>
      </c>
      <c r="B1109" s="1" t="s">
        <v>153</v>
      </c>
      <c r="C1109" s="4">
        <v>6</v>
      </c>
      <c r="D1109" s="8">
        <v>1.41</v>
      </c>
      <c r="E1109" s="4">
        <v>0</v>
      </c>
      <c r="F1109" s="8">
        <v>0</v>
      </c>
      <c r="G1109" s="4">
        <v>6</v>
      </c>
      <c r="H1109" s="8">
        <v>3.8</v>
      </c>
      <c r="I1109" s="4">
        <v>0</v>
      </c>
    </row>
    <row r="1110" spans="1:9" x14ac:dyDescent="0.2">
      <c r="A1110" s="2">
        <v>16</v>
      </c>
      <c r="B1110" s="1" t="s">
        <v>184</v>
      </c>
      <c r="C1110" s="4">
        <v>6</v>
      </c>
      <c r="D1110" s="8">
        <v>1.41</v>
      </c>
      <c r="E1110" s="4">
        <v>1</v>
      </c>
      <c r="F1110" s="8">
        <v>0.38</v>
      </c>
      <c r="G1110" s="4">
        <v>5</v>
      </c>
      <c r="H1110" s="8">
        <v>3.16</v>
      </c>
      <c r="I1110" s="4">
        <v>0</v>
      </c>
    </row>
    <row r="1111" spans="1:9" x14ac:dyDescent="0.2">
      <c r="A1111" s="2">
        <v>16</v>
      </c>
      <c r="B1111" s="1" t="s">
        <v>190</v>
      </c>
      <c r="C1111" s="4">
        <v>6</v>
      </c>
      <c r="D1111" s="8">
        <v>1.41</v>
      </c>
      <c r="E1111" s="4">
        <v>5</v>
      </c>
      <c r="F1111" s="8">
        <v>1.89</v>
      </c>
      <c r="G1111" s="4">
        <v>1</v>
      </c>
      <c r="H1111" s="8">
        <v>0.63</v>
      </c>
      <c r="I1111" s="4">
        <v>0</v>
      </c>
    </row>
    <row r="1112" spans="1:9" x14ac:dyDescent="0.2">
      <c r="A1112" s="2">
        <v>19</v>
      </c>
      <c r="B1112" s="1" t="s">
        <v>149</v>
      </c>
      <c r="C1112" s="4">
        <v>5</v>
      </c>
      <c r="D1112" s="8">
        <v>1.17</v>
      </c>
      <c r="E1112" s="4">
        <v>0</v>
      </c>
      <c r="F1112" s="8">
        <v>0</v>
      </c>
      <c r="G1112" s="4">
        <v>5</v>
      </c>
      <c r="H1112" s="8">
        <v>3.16</v>
      </c>
      <c r="I1112" s="4">
        <v>0</v>
      </c>
    </row>
    <row r="1113" spans="1:9" x14ac:dyDescent="0.2">
      <c r="A1113" s="2">
        <v>19</v>
      </c>
      <c r="B1113" s="1" t="s">
        <v>175</v>
      </c>
      <c r="C1113" s="4">
        <v>5</v>
      </c>
      <c r="D1113" s="8">
        <v>1.17</v>
      </c>
      <c r="E1113" s="4">
        <v>3</v>
      </c>
      <c r="F1113" s="8">
        <v>1.1299999999999999</v>
      </c>
      <c r="G1113" s="4">
        <v>2</v>
      </c>
      <c r="H1113" s="8">
        <v>1.27</v>
      </c>
      <c r="I1113" s="4">
        <v>0</v>
      </c>
    </row>
    <row r="1114" spans="1:9" x14ac:dyDescent="0.2">
      <c r="A1114" s="2">
        <v>19</v>
      </c>
      <c r="B1114" s="1" t="s">
        <v>221</v>
      </c>
      <c r="C1114" s="4">
        <v>5</v>
      </c>
      <c r="D1114" s="8">
        <v>1.17</v>
      </c>
      <c r="E1114" s="4">
        <v>5</v>
      </c>
      <c r="F1114" s="8">
        <v>1.89</v>
      </c>
      <c r="G1114" s="4">
        <v>0</v>
      </c>
      <c r="H1114" s="8">
        <v>0</v>
      </c>
      <c r="I1114" s="4">
        <v>0</v>
      </c>
    </row>
    <row r="1115" spans="1:9" x14ac:dyDescent="0.2">
      <c r="A1115" s="2">
        <v>19</v>
      </c>
      <c r="B1115" s="1" t="s">
        <v>177</v>
      </c>
      <c r="C1115" s="4">
        <v>5</v>
      </c>
      <c r="D1115" s="8">
        <v>1.17</v>
      </c>
      <c r="E1115" s="4">
        <v>4</v>
      </c>
      <c r="F1115" s="8">
        <v>1.51</v>
      </c>
      <c r="G1115" s="4">
        <v>1</v>
      </c>
      <c r="H1115" s="8">
        <v>0.63</v>
      </c>
      <c r="I1115" s="4">
        <v>0</v>
      </c>
    </row>
    <row r="1116" spans="1:9" x14ac:dyDescent="0.2">
      <c r="A1116" s="2">
        <v>19</v>
      </c>
      <c r="B1116" s="1" t="s">
        <v>198</v>
      </c>
      <c r="C1116" s="4">
        <v>5</v>
      </c>
      <c r="D1116" s="8">
        <v>1.17</v>
      </c>
      <c r="E1116" s="4">
        <v>2</v>
      </c>
      <c r="F1116" s="8">
        <v>0.75</v>
      </c>
      <c r="G1116" s="4">
        <v>3</v>
      </c>
      <c r="H1116" s="8">
        <v>1.9</v>
      </c>
      <c r="I1116" s="4">
        <v>0</v>
      </c>
    </row>
    <row r="1117" spans="1:9" x14ac:dyDescent="0.2">
      <c r="A1117" s="2">
        <v>19</v>
      </c>
      <c r="B1117" s="1" t="s">
        <v>156</v>
      </c>
      <c r="C1117" s="4">
        <v>5</v>
      </c>
      <c r="D1117" s="8">
        <v>1.17</v>
      </c>
      <c r="E1117" s="4">
        <v>5</v>
      </c>
      <c r="F1117" s="8">
        <v>1.89</v>
      </c>
      <c r="G1117" s="4">
        <v>0</v>
      </c>
      <c r="H1117" s="8">
        <v>0</v>
      </c>
      <c r="I1117" s="4">
        <v>0</v>
      </c>
    </row>
    <row r="1118" spans="1:9" x14ac:dyDescent="0.2">
      <c r="A1118" s="2">
        <v>19</v>
      </c>
      <c r="B1118" s="1" t="s">
        <v>171</v>
      </c>
      <c r="C1118" s="4">
        <v>5</v>
      </c>
      <c r="D1118" s="8">
        <v>1.17</v>
      </c>
      <c r="E1118" s="4">
        <v>0</v>
      </c>
      <c r="F1118" s="8">
        <v>0</v>
      </c>
      <c r="G1118" s="4">
        <v>5</v>
      </c>
      <c r="H1118" s="8">
        <v>3.16</v>
      </c>
      <c r="I1118" s="4">
        <v>0</v>
      </c>
    </row>
    <row r="1119" spans="1:9" x14ac:dyDescent="0.2">
      <c r="A1119" s="2">
        <v>19</v>
      </c>
      <c r="B1119" s="1" t="s">
        <v>222</v>
      </c>
      <c r="C1119" s="4">
        <v>5</v>
      </c>
      <c r="D1119" s="8">
        <v>1.17</v>
      </c>
      <c r="E1119" s="4">
        <v>5</v>
      </c>
      <c r="F1119" s="8">
        <v>1.89</v>
      </c>
      <c r="G1119" s="4">
        <v>0</v>
      </c>
      <c r="H1119" s="8">
        <v>0</v>
      </c>
      <c r="I1119" s="4">
        <v>0</v>
      </c>
    </row>
    <row r="1120" spans="1:9" x14ac:dyDescent="0.2">
      <c r="A1120" s="2">
        <v>19</v>
      </c>
      <c r="B1120" s="1" t="s">
        <v>169</v>
      </c>
      <c r="C1120" s="4">
        <v>5</v>
      </c>
      <c r="D1120" s="8">
        <v>1.17</v>
      </c>
      <c r="E1120" s="4">
        <v>3</v>
      </c>
      <c r="F1120" s="8">
        <v>1.1299999999999999</v>
      </c>
      <c r="G1120" s="4">
        <v>2</v>
      </c>
      <c r="H1120" s="8">
        <v>1.27</v>
      </c>
      <c r="I1120" s="4">
        <v>0</v>
      </c>
    </row>
    <row r="1121" spans="1:9" x14ac:dyDescent="0.2">
      <c r="A1121" s="1"/>
      <c r="C1121" s="4"/>
      <c r="D1121" s="8"/>
      <c r="E1121" s="4"/>
      <c r="F1121" s="8"/>
      <c r="G1121" s="4"/>
      <c r="H1121" s="8"/>
      <c r="I1121" s="4"/>
    </row>
    <row r="1122" spans="1:9" x14ac:dyDescent="0.2">
      <c r="A1122" s="1" t="s">
        <v>48</v>
      </c>
      <c r="C1122" s="4"/>
      <c r="D1122" s="8"/>
      <c r="E1122" s="4"/>
      <c r="F1122" s="8"/>
      <c r="G1122" s="4"/>
      <c r="H1122" s="8"/>
      <c r="I1122" s="4"/>
    </row>
    <row r="1123" spans="1:9" x14ac:dyDescent="0.2">
      <c r="A1123" s="2">
        <v>1</v>
      </c>
      <c r="B1123" s="1" t="s">
        <v>223</v>
      </c>
      <c r="C1123" s="4">
        <v>28</v>
      </c>
      <c r="D1123" s="8">
        <v>8.81</v>
      </c>
      <c r="E1123" s="4">
        <v>26</v>
      </c>
      <c r="F1123" s="8">
        <v>11.3</v>
      </c>
      <c r="G1123" s="4">
        <v>2</v>
      </c>
      <c r="H1123" s="8">
        <v>2.41</v>
      </c>
      <c r="I1123" s="4">
        <v>0</v>
      </c>
    </row>
    <row r="1124" spans="1:9" x14ac:dyDescent="0.2">
      <c r="A1124" s="2">
        <v>2</v>
      </c>
      <c r="B1124" s="1" t="s">
        <v>163</v>
      </c>
      <c r="C1124" s="4">
        <v>20</v>
      </c>
      <c r="D1124" s="8">
        <v>6.29</v>
      </c>
      <c r="E1124" s="4">
        <v>19</v>
      </c>
      <c r="F1124" s="8">
        <v>8.26</v>
      </c>
      <c r="G1124" s="4">
        <v>1</v>
      </c>
      <c r="H1124" s="8">
        <v>1.2</v>
      </c>
      <c r="I1124" s="4">
        <v>0</v>
      </c>
    </row>
    <row r="1125" spans="1:9" x14ac:dyDescent="0.2">
      <c r="A1125" s="2">
        <v>3</v>
      </c>
      <c r="B1125" s="1" t="s">
        <v>164</v>
      </c>
      <c r="C1125" s="4">
        <v>18</v>
      </c>
      <c r="D1125" s="8">
        <v>5.66</v>
      </c>
      <c r="E1125" s="4">
        <v>18</v>
      </c>
      <c r="F1125" s="8">
        <v>7.83</v>
      </c>
      <c r="G1125" s="4">
        <v>0</v>
      </c>
      <c r="H1125" s="8">
        <v>0</v>
      </c>
      <c r="I1125" s="4">
        <v>0</v>
      </c>
    </row>
    <row r="1126" spans="1:9" x14ac:dyDescent="0.2">
      <c r="A1126" s="2">
        <v>4</v>
      </c>
      <c r="B1126" s="1" t="s">
        <v>150</v>
      </c>
      <c r="C1126" s="4">
        <v>14</v>
      </c>
      <c r="D1126" s="8">
        <v>4.4000000000000004</v>
      </c>
      <c r="E1126" s="4">
        <v>11</v>
      </c>
      <c r="F1126" s="8">
        <v>4.78</v>
      </c>
      <c r="G1126" s="4">
        <v>3</v>
      </c>
      <c r="H1126" s="8">
        <v>3.61</v>
      </c>
      <c r="I1126" s="4">
        <v>0</v>
      </c>
    </row>
    <row r="1127" spans="1:9" x14ac:dyDescent="0.2">
      <c r="A1127" s="2">
        <v>5</v>
      </c>
      <c r="B1127" s="1" t="s">
        <v>191</v>
      </c>
      <c r="C1127" s="4">
        <v>11</v>
      </c>
      <c r="D1127" s="8">
        <v>3.46</v>
      </c>
      <c r="E1127" s="4">
        <v>6</v>
      </c>
      <c r="F1127" s="8">
        <v>2.61</v>
      </c>
      <c r="G1127" s="4">
        <v>5</v>
      </c>
      <c r="H1127" s="8">
        <v>6.02</v>
      </c>
      <c r="I1127" s="4">
        <v>0</v>
      </c>
    </row>
    <row r="1128" spans="1:9" x14ac:dyDescent="0.2">
      <c r="A1128" s="2">
        <v>5</v>
      </c>
      <c r="B1128" s="1" t="s">
        <v>167</v>
      </c>
      <c r="C1128" s="4">
        <v>11</v>
      </c>
      <c r="D1128" s="8">
        <v>3.46</v>
      </c>
      <c r="E1128" s="4">
        <v>10</v>
      </c>
      <c r="F1128" s="8">
        <v>4.3499999999999996</v>
      </c>
      <c r="G1128" s="4">
        <v>1</v>
      </c>
      <c r="H1128" s="8">
        <v>1.2</v>
      </c>
      <c r="I1128" s="4">
        <v>0</v>
      </c>
    </row>
    <row r="1129" spans="1:9" x14ac:dyDescent="0.2">
      <c r="A1129" s="2">
        <v>7</v>
      </c>
      <c r="B1129" s="1" t="s">
        <v>162</v>
      </c>
      <c r="C1129" s="4">
        <v>10</v>
      </c>
      <c r="D1129" s="8">
        <v>3.14</v>
      </c>
      <c r="E1129" s="4">
        <v>9</v>
      </c>
      <c r="F1129" s="8">
        <v>3.91</v>
      </c>
      <c r="G1129" s="4">
        <v>1</v>
      </c>
      <c r="H1129" s="8">
        <v>1.2</v>
      </c>
      <c r="I1129" s="4">
        <v>0</v>
      </c>
    </row>
    <row r="1130" spans="1:9" x14ac:dyDescent="0.2">
      <c r="A1130" s="2">
        <v>8</v>
      </c>
      <c r="B1130" s="1" t="s">
        <v>154</v>
      </c>
      <c r="C1130" s="4">
        <v>9</v>
      </c>
      <c r="D1130" s="8">
        <v>2.83</v>
      </c>
      <c r="E1130" s="4">
        <v>7</v>
      </c>
      <c r="F1130" s="8">
        <v>3.04</v>
      </c>
      <c r="G1130" s="4">
        <v>2</v>
      </c>
      <c r="H1130" s="8">
        <v>2.41</v>
      </c>
      <c r="I1130" s="4">
        <v>0</v>
      </c>
    </row>
    <row r="1131" spans="1:9" x14ac:dyDescent="0.2">
      <c r="A1131" s="2">
        <v>9</v>
      </c>
      <c r="B1131" s="1" t="s">
        <v>166</v>
      </c>
      <c r="C1131" s="4">
        <v>8</v>
      </c>
      <c r="D1131" s="8">
        <v>2.52</v>
      </c>
      <c r="E1131" s="4">
        <v>8</v>
      </c>
      <c r="F1131" s="8">
        <v>3.48</v>
      </c>
      <c r="G1131" s="4">
        <v>0</v>
      </c>
      <c r="H1131" s="8">
        <v>0</v>
      </c>
      <c r="I1131" s="4">
        <v>0</v>
      </c>
    </row>
    <row r="1132" spans="1:9" x14ac:dyDescent="0.2">
      <c r="A1132" s="2">
        <v>10</v>
      </c>
      <c r="B1132" s="1" t="s">
        <v>177</v>
      </c>
      <c r="C1132" s="4">
        <v>7</v>
      </c>
      <c r="D1132" s="8">
        <v>2.2000000000000002</v>
      </c>
      <c r="E1132" s="4">
        <v>5</v>
      </c>
      <c r="F1132" s="8">
        <v>2.17</v>
      </c>
      <c r="G1132" s="4">
        <v>2</v>
      </c>
      <c r="H1132" s="8">
        <v>2.41</v>
      </c>
      <c r="I1132" s="4">
        <v>0</v>
      </c>
    </row>
    <row r="1133" spans="1:9" x14ac:dyDescent="0.2">
      <c r="A1133" s="2">
        <v>10</v>
      </c>
      <c r="B1133" s="1" t="s">
        <v>155</v>
      </c>
      <c r="C1133" s="4">
        <v>7</v>
      </c>
      <c r="D1133" s="8">
        <v>2.2000000000000002</v>
      </c>
      <c r="E1133" s="4">
        <v>4</v>
      </c>
      <c r="F1133" s="8">
        <v>1.74</v>
      </c>
      <c r="G1133" s="4">
        <v>3</v>
      </c>
      <c r="H1133" s="8">
        <v>3.61</v>
      </c>
      <c r="I1133" s="4">
        <v>0</v>
      </c>
    </row>
    <row r="1134" spans="1:9" x14ac:dyDescent="0.2">
      <c r="A1134" s="2">
        <v>12</v>
      </c>
      <c r="B1134" s="1" t="s">
        <v>148</v>
      </c>
      <c r="C1134" s="4">
        <v>6</v>
      </c>
      <c r="D1134" s="8">
        <v>1.89</v>
      </c>
      <c r="E1134" s="4">
        <v>1</v>
      </c>
      <c r="F1134" s="8">
        <v>0.43</v>
      </c>
      <c r="G1134" s="4">
        <v>5</v>
      </c>
      <c r="H1134" s="8">
        <v>6.02</v>
      </c>
      <c r="I1134" s="4">
        <v>0</v>
      </c>
    </row>
    <row r="1135" spans="1:9" x14ac:dyDescent="0.2">
      <c r="A1135" s="2">
        <v>12</v>
      </c>
      <c r="B1135" s="1" t="s">
        <v>149</v>
      </c>
      <c r="C1135" s="4">
        <v>6</v>
      </c>
      <c r="D1135" s="8">
        <v>1.89</v>
      </c>
      <c r="E1135" s="4">
        <v>3</v>
      </c>
      <c r="F1135" s="8">
        <v>1.3</v>
      </c>
      <c r="G1135" s="4">
        <v>3</v>
      </c>
      <c r="H1135" s="8">
        <v>3.61</v>
      </c>
      <c r="I1135" s="4">
        <v>0</v>
      </c>
    </row>
    <row r="1136" spans="1:9" x14ac:dyDescent="0.2">
      <c r="A1136" s="2">
        <v>12</v>
      </c>
      <c r="B1136" s="1" t="s">
        <v>197</v>
      </c>
      <c r="C1136" s="4">
        <v>6</v>
      </c>
      <c r="D1136" s="8">
        <v>1.89</v>
      </c>
      <c r="E1136" s="4">
        <v>6</v>
      </c>
      <c r="F1136" s="8">
        <v>2.61</v>
      </c>
      <c r="G1136" s="4">
        <v>0</v>
      </c>
      <c r="H1136" s="8">
        <v>0</v>
      </c>
      <c r="I1136" s="4">
        <v>0</v>
      </c>
    </row>
    <row r="1137" spans="1:9" x14ac:dyDescent="0.2">
      <c r="A1137" s="2">
        <v>12</v>
      </c>
      <c r="B1137" s="1" t="s">
        <v>152</v>
      </c>
      <c r="C1137" s="4">
        <v>6</v>
      </c>
      <c r="D1137" s="8">
        <v>1.89</v>
      </c>
      <c r="E1137" s="4">
        <v>4</v>
      </c>
      <c r="F1137" s="8">
        <v>1.74</v>
      </c>
      <c r="G1137" s="4">
        <v>2</v>
      </c>
      <c r="H1137" s="8">
        <v>2.41</v>
      </c>
      <c r="I1137" s="4">
        <v>0</v>
      </c>
    </row>
    <row r="1138" spans="1:9" x14ac:dyDescent="0.2">
      <c r="A1138" s="2">
        <v>12</v>
      </c>
      <c r="B1138" s="1" t="s">
        <v>153</v>
      </c>
      <c r="C1138" s="4">
        <v>6</v>
      </c>
      <c r="D1138" s="8">
        <v>1.89</v>
      </c>
      <c r="E1138" s="4">
        <v>3</v>
      </c>
      <c r="F1138" s="8">
        <v>1.3</v>
      </c>
      <c r="G1138" s="4">
        <v>3</v>
      </c>
      <c r="H1138" s="8">
        <v>3.61</v>
      </c>
      <c r="I1138" s="4">
        <v>0</v>
      </c>
    </row>
    <row r="1139" spans="1:9" x14ac:dyDescent="0.2">
      <c r="A1139" s="2">
        <v>12</v>
      </c>
      <c r="B1139" s="1" t="s">
        <v>190</v>
      </c>
      <c r="C1139" s="4">
        <v>6</v>
      </c>
      <c r="D1139" s="8">
        <v>1.89</v>
      </c>
      <c r="E1139" s="4">
        <v>6</v>
      </c>
      <c r="F1139" s="8">
        <v>2.61</v>
      </c>
      <c r="G1139" s="4">
        <v>0</v>
      </c>
      <c r="H1139" s="8">
        <v>0</v>
      </c>
      <c r="I1139" s="4">
        <v>0</v>
      </c>
    </row>
    <row r="1140" spans="1:9" x14ac:dyDescent="0.2">
      <c r="A1140" s="2">
        <v>12</v>
      </c>
      <c r="B1140" s="1" t="s">
        <v>192</v>
      </c>
      <c r="C1140" s="4">
        <v>6</v>
      </c>
      <c r="D1140" s="8">
        <v>1.89</v>
      </c>
      <c r="E1140" s="4">
        <v>5</v>
      </c>
      <c r="F1140" s="8">
        <v>2.17</v>
      </c>
      <c r="G1140" s="4">
        <v>1</v>
      </c>
      <c r="H1140" s="8">
        <v>1.2</v>
      </c>
      <c r="I1140" s="4">
        <v>0</v>
      </c>
    </row>
    <row r="1141" spans="1:9" x14ac:dyDescent="0.2">
      <c r="A1141" s="2">
        <v>12</v>
      </c>
      <c r="B1141" s="1" t="s">
        <v>161</v>
      </c>
      <c r="C1141" s="4">
        <v>6</v>
      </c>
      <c r="D1141" s="8">
        <v>1.89</v>
      </c>
      <c r="E1141" s="4">
        <v>6</v>
      </c>
      <c r="F1141" s="8">
        <v>2.61</v>
      </c>
      <c r="G1141" s="4">
        <v>0</v>
      </c>
      <c r="H1141" s="8">
        <v>0</v>
      </c>
      <c r="I1141" s="4">
        <v>0</v>
      </c>
    </row>
    <row r="1142" spans="1:9" x14ac:dyDescent="0.2">
      <c r="A1142" s="2">
        <v>20</v>
      </c>
      <c r="B1142" s="1" t="s">
        <v>219</v>
      </c>
      <c r="C1142" s="4">
        <v>5</v>
      </c>
      <c r="D1142" s="8">
        <v>1.57</v>
      </c>
      <c r="E1142" s="4">
        <v>5</v>
      </c>
      <c r="F1142" s="8">
        <v>2.17</v>
      </c>
      <c r="G1142" s="4">
        <v>0</v>
      </c>
      <c r="H1142" s="8">
        <v>0</v>
      </c>
      <c r="I1142" s="4">
        <v>0</v>
      </c>
    </row>
    <row r="1143" spans="1:9" x14ac:dyDescent="0.2">
      <c r="A1143" s="2">
        <v>20</v>
      </c>
      <c r="B1143" s="1" t="s">
        <v>156</v>
      </c>
      <c r="C1143" s="4">
        <v>5</v>
      </c>
      <c r="D1143" s="8">
        <v>1.57</v>
      </c>
      <c r="E1143" s="4">
        <v>3</v>
      </c>
      <c r="F1143" s="8">
        <v>1.3</v>
      </c>
      <c r="G1143" s="4">
        <v>2</v>
      </c>
      <c r="H1143" s="8">
        <v>2.41</v>
      </c>
      <c r="I1143" s="4">
        <v>0</v>
      </c>
    </row>
    <row r="1144" spans="1:9" x14ac:dyDescent="0.2">
      <c r="A1144" s="2">
        <v>20</v>
      </c>
      <c r="B1144" s="1" t="s">
        <v>169</v>
      </c>
      <c r="C1144" s="4">
        <v>5</v>
      </c>
      <c r="D1144" s="8">
        <v>1.57</v>
      </c>
      <c r="E1144" s="4">
        <v>1</v>
      </c>
      <c r="F1144" s="8">
        <v>0.43</v>
      </c>
      <c r="G1144" s="4">
        <v>4</v>
      </c>
      <c r="H1144" s="8">
        <v>4.82</v>
      </c>
      <c r="I1144" s="4">
        <v>0</v>
      </c>
    </row>
    <row r="1145" spans="1:9" x14ac:dyDescent="0.2">
      <c r="A1145" s="1"/>
      <c r="C1145" s="4"/>
      <c r="D1145" s="8"/>
      <c r="E1145" s="4"/>
      <c r="F1145" s="8"/>
      <c r="G1145" s="4"/>
      <c r="H1145" s="8"/>
      <c r="I1145" s="4"/>
    </row>
    <row r="1146" spans="1:9" x14ac:dyDescent="0.2">
      <c r="A1146" s="1" t="s">
        <v>49</v>
      </c>
      <c r="C1146" s="4"/>
      <c r="D1146" s="8"/>
      <c r="E1146" s="4"/>
      <c r="F1146" s="8"/>
      <c r="G1146" s="4"/>
      <c r="H1146" s="8"/>
      <c r="I1146" s="4"/>
    </row>
    <row r="1147" spans="1:9" x14ac:dyDescent="0.2">
      <c r="A1147" s="2">
        <v>1</v>
      </c>
      <c r="B1147" s="1" t="s">
        <v>164</v>
      </c>
      <c r="C1147" s="4">
        <v>28</v>
      </c>
      <c r="D1147" s="8">
        <v>6.48</v>
      </c>
      <c r="E1147" s="4">
        <v>27</v>
      </c>
      <c r="F1147" s="8">
        <v>10.98</v>
      </c>
      <c r="G1147" s="4">
        <v>1</v>
      </c>
      <c r="H1147" s="8">
        <v>0.55000000000000004</v>
      </c>
      <c r="I1147" s="4">
        <v>0</v>
      </c>
    </row>
    <row r="1148" spans="1:9" x14ac:dyDescent="0.2">
      <c r="A1148" s="2">
        <v>2</v>
      </c>
      <c r="B1148" s="1" t="s">
        <v>187</v>
      </c>
      <c r="C1148" s="4">
        <v>26</v>
      </c>
      <c r="D1148" s="8">
        <v>6.02</v>
      </c>
      <c r="E1148" s="4">
        <v>17</v>
      </c>
      <c r="F1148" s="8">
        <v>6.91</v>
      </c>
      <c r="G1148" s="4">
        <v>9</v>
      </c>
      <c r="H1148" s="8">
        <v>4.95</v>
      </c>
      <c r="I1148" s="4">
        <v>0</v>
      </c>
    </row>
    <row r="1149" spans="1:9" x14ac:dyDescent="0.2">
      <c r="A1149" s="2">
        <v>3</v>
      </c>
      <c r="B1149" s="1" t="s">
        <v>152</v>
      </c>
      <c r="C1149" s="4">
        <v>16</v>
      </c>
      <c r="D1149" s="8">
        <v>3.7</v>
      </c>
      <c r="E1149" s="4">
        <v>4</v>
      </c>
      <c r="F1149" s="8">
        <v>1.63</v>
      </c>
      <c r="G1149" s="4">
        <v>12</v>
      </c>
      <c r="H1149" s="8">
        <v>6.59</v>
      </c>
      <c r="I1149" s="4">
        <v>0</v>
      </c>
    </row>
    <row r="1150" spans="1:9" x14ac:dyDescent="0.2">
      <c r="A1150" s="2">
        <v>3</v>
      </c>
      <c r="B1150" s="1" t="s">
        <v>163</v>
      </c>
      <c r="C1150" s="4">
        <v>16</v>
      </c>
      <c r="D1150" s="8">
        <v>3.7</v>
      </c>
      <c r="E1150" s="4">
        <v>15</v>
      </c>
      <c r="F1150" s="8">
        <v>6.1</v>
      </c>
      <c r="G1150" s="4">
        <v>1</v>
      </c>
      <c r="H1150" s="8">
        <v>0.55000000000000004</v>
      </c>
      <c r="I1150" s="4">
        <v>0</v>
      </c>
    </row>
    <row r="1151" spans="1:9" x14ac:dyDescent="0.2">
      <c r="A1151" s="2">
        <v>5</v>
      </c>
      <c r="B1151" s="1" t="s">
        <v>167</v>
      </c>
      <c r="C1151" s="4">
        <v>15</v>
      </c>
      <c r="D1151" s="8">
        <v>3.47</v>
      </c>
      <c r="E1151" s="4">
        <v>9</v>
      </c>
      <c r="F1151" s="8">
        <v>3.66</v>
      </c>
      <c r="G1151" s="4">
        <v>6</v>
      </c>
      <c r="H1151" s="8">
        <v>3.3</v>
      </c>
      <c r="I1151" s="4">
        <v>0</v>
      </c>
    </row>
    <row r="1152" spans="1:9" x14ac:dyDescent="0.2">
      <c r="A1152" s="2">
        <v>6</v>
      </c>
      <c r="B1152" s="1" t="s">
        <v>150</v>
      </c>
      <c r="C1152" s="4">
        <v>13</v>
      </c>
      <c r="D1152" s="8">
        <v>3.01</v>
      </c>
      <c r="E1152" s="4">
        <v>9</v>
      </c>
      <c r="F1152" s="8">
        <v>3.66</v>
      </c>
      <c r="G1152" s="4">
        <v>4</v>
      </c>
      <c r="H1152" s="8">
        <v>2.2000000000000002</v>
      </c>
      <c r="I1152" s="4">
        <v>0</v>
      </c>
    </row>
    <row r="1153" spans="1:9" x14ac:dyDescent="0.2">
      <c r="A1153" s="2">
        <v>6</v>
      </c>
      <c r="B1153" s="1" t="s">
        <v>192</v>
      </c>
      <c r="C1153" s="4">
        <v>13</v>
      </c>
      <c r="D1153" s="8">
        <v>3.01</v>
      </c>
      <c r="E1153" s="4">
        <v>12</v>
      </c>
      <c r="F1153" s="8">
        <v>4.88</v>
      </c>
      <c r="G1153" s="4">
        <v>1</v>
      </c>
      <c r="H1153" s="8">
        <v>0.55000000000000004</v>
      </c>
      <c r="I1153" s="4">
        <v>0</v>
      </c>
    </row>
    <row r="1154" spans="1:9" x14ac:dyDescent="0.2">
      <c r="A1154" s="2">
        <v>8</v>
      </c>
      <c r="B1154" s="1" t="s">
        <v>161</v>
      </c>
      <c r="C1154" s="4">
        <v>12</v>
      </c>
      <c r="D1154" s="8">
        <v>2.78</v>
      </c>
      <c r="E1154" s="4">
        <v>8</v>
      </c>
      <c r="F1154" s="8">
        <v>3.25</v>
      </c>
      <c r="G1154" s="4">
        <v>4</v>
      </c>
      <c r="H1154" s="8">
        <v>2.2000000000000002</v>
      </c>
      <c r="I1154" s="4">
        <v>0</v>
      </c>
    </row>
    <row r="1155" spans="1:9" x14ac:dyDescent="0.2">
      <c r="A1155" s="2">
        <v>9</v>
      </c>
      <c r="B1155" s="1" t="s">
        <v>148</v>
      </c>
      <c r="C1155" s="4">
        <v>10</v>
      </c>
      <c r="D1155" s="8">
        <v>2.31</v>
      </c>
      <c r="E1155" s="4">
        <v>1</v>
      </c>
      <c r="F1155" s="8">
        <v>0.41</v>
      </c>
      <c r="G1155" s="4">
        <v>9</v>
      </c>
      <c r="H1155" s="8">
        <v>4.95</v>
      </c>
      <c r="I1155" s="4">
        <v>0</v>
      </c>
    </row>
    <row r="1156" spans="1:9" x14ac:dyDescent="0.2">
      <c r="A1156" s="2">
        <v>10</v>
      </c>
      <c r="B1156" s="1" t="s">
        <v>151</v>
      </c>
      <c r="C1156" s="4">
        <v>9</v>
      </c>
      <c r="D1156" s="8">
        <v>2.08</v>
      </c>
      <c r="E1156" s="4">
        <v>2</v>
      </c>
      <c r="F1156" s="8">
        <v>0.81</v>
      </c>
      <c r="G1156" s="4">
        <v>7</v>
      </c>
      <c r="H1156" s="8">
        <v>3.85</v>
      </c>
      <c r="I1156" s="4">
        <v>0</v>
      </c>
    </row>
    <row r="1157" spans="1:9" x14ac:dyDescent="0.2">
      <c r="A1157" s="2">
        <v>10</v>
      </c>
      <c r="B1157" s="1" t="s">
        <v>156</v>
      </c>
      <c r="C1157" s="4">
        <v>9</v>
      </c>
      <c r="D1157" s="8">
        <v>2.08</v>
      </c>
      <c r="E1157" s="4">
        <v>3</v>
      </c>
      <c r="F1157" s="8">
        <v>1.22</v>
      </c>
      <c r="G1157" s="4">
        <v>6</v>
      </c>
      <c r="H1157" s="8">
        <v>3.3</v>
      </c>
      <c r="I1157" s="4">
        <v>0</v>
      </c>
    </row>
    <row r="1158" spans="1:9" x14ac:dyDescent="0.2">
      <c r="A1158" s="2">
        <v>12</v>
      </c>
      <c r="B1158" s="1" t="s">
        <v>202</v>
      </c>
      <c r="C1158" s="4">
        <v>8</v>
      </c>
      <c r="D1158" s="8">
        <v>1.85</v>
      </c>
      <c r="E1158" s="4">
        <v>5</v>
      </c>
      <c r="F1158" s="8">
        <v>2.0299999999999998</v>
      </c>
      <c r="G1158" s="4">
        <v>3</v>
      </c>
      <c r="H1158" s="8">
        <v>1.65</v>
      </c>
      <c r="I1158" s="4">
        <v>0</v>
      </c>
    </row>
    <row r="1159" spans="1:9" x14ac:dyDescent="0.2">
      <c r="A1159" s="2">
        <v>12</v>
      </c>
      <c r="B1159" s="1" t="s">
        <v>162</v>
      </c>
      <c r="C1159" s="4">
        <v>8</v>
      </c>
      <c r="D1159" s="8">
        <v>1.85</v>
      </c>
      <c r="E1159" s="4">
        <v>7</v>
      </c>
      <c r="F1159" s="8">
        <v>2.85</v>
      </c>
      <c r="G1159" s="4">
        <v>1</v>
      </c>
      <c r="H1159" s="8">
        <v>0.55000000000000004</v>
      </c>
      <c r="I1159" s="4">
        <v>0</v>
      </c>
    </row>
    <row r="1160" spans="1:9" x14ac:dyDescent="0.2">
      <c r="A1160" s="2">
        <v>14</v>
      </c>
      <c r="B1160" s="1" t="s">
        <v>149</v>
      </c>
      <c r="C1160" s="4">
        <v>7</v>
      </c>
      <c r="D1160" s="8">
        <v>1.62</v>
      </c>
      <c r="E1160" s="4">
        <v>1</v>
      </c>
      <c r="F1160" s="8">
        <v>0.41</v>
      </c>
      <c r="G1160" s="4">
        <v>6</v>
      </c>
      <c r="H1160" s="8">
        <v>3.3</v>
      </c>
      <c r="I1160" s="4">
        <v>0</v>
      </c>
    </row>
    <row r="1161" spans="1:9" x14ac:dyDescent="0.2">
      <c r="A1161" s="2">
        <v>14</v>
      </c>
      <c r="B1161" s="1" t="s">
        <v>153</v>
      </c>
      <c r="C1161" s="4">
        <v>7</v>
      </c>
      <c r="D1161" s="8">
        <v>1.62</v>
      </c>
      <c r="E1161" s="4">
        <v>4</v>
      </c>
      <c r="F1161" s="8">
        <v>1.63</v>
      </c>
      <c r="G1161" s="4">
        <v>3</v>
      </c>
      <c r="H1161" s="8">
        <v>1.65</v>
      </c>
      <c r="I1161" s="4">
        <v>0</v>
      </c>
    </row>
    <row r="1162" spans="1:9" x14ac:dyDescent="0.2">
      <c r="A1162" s="2">
        <v>14</v>
      </c>
      <c r="B1162" s="1" t="s">
        <v>194</v>
      </c>
      <c r="C1162" s="4">
        <v>7</v>
      </c>
      <c r="D1162" s="8">
        <v>1.62</v>
      </c>
      <c r="E1162" s="4">
        <v>3</v>
      </c>
      <c r="F1162" s="8">
        <v>1.22</v>
      </c>
      <c r="G1162" s="4">
        <v>4</v>
      </c>
      <c r="H1162" s="8">
        <v>2.2000000000000002</v>
      </c>
      <c r="I1162" s="4">
        <v>0</v>
      </c>
    </row>
    <row r="1163" spans="1:9" x14ac:dyDescent="0.2">
      <c r="A1163" s="2">
        <v>14</v>
      </c>
      <c r="B1163" s="1" t="s">
        <v>195</v>
      </c>
      <c r="C1163" s="4">
        <v>7</v>
      </c>
      <c r="D1163" s="8">
        <v>1.62</v>
      </c>
      <c r="E1163" s="4">
        <v>4</v>
      </c>
      <c r="F1163" s="8">
        <v>1.63</v>
      </c>
      <c r="G1163" s="4">
        <v>3</v>
      </c>
      <c r="H1163" s="8">
        <v>1.65</v>
      </c>
      <c r="I1163" s="4">
        <v>0</v>
      </c>
    </row>
    <row r="1164" spans="1:9" x14ac:dyDescent="0.2">
      <c r="A1164" s="2">
        <v>14</v>
      </c>
      <c r="B1164" s="1" t="s">
        <v>173</v>
      </c>
      <c r="C1164" s="4">
        <v>7</v>
      </c>
      <c r="D1164" s="8">
        <v>1.62</v>
      </c>
      <c r="E1164" s="4">
        <v>4</v>
      </c>
      <c r="F1164" s="8">
        <v>1.63</v>
      </c>
      <c r="G1164" s="4">
        <v>3</v>
      </c>
      <c r="H1164" s="8">
        <v>1.65</v>
      </c>
      <c r="I1164" s="4">
        <v>0</v>
      </c>
    </row>
    <row r="1165" spans="1:9" x14ac:dyDescent="0.2">
      <c r="A1165" s="2">
        <v>19</v>
      </c>
      <c r="B1165" s="1" t="s">
        <v>197</v>
      </c>
      <c r="C1165" s="4">
        <v>6</v>
      </c>
      <c r="D1165" s="8">
        <v>1.39</v>
      </c>
      <c r="E1165" s="4">
        <v>5</v>
      </c>
      <c r="F1165" s="8">
        <v>2.0299999999999998</v>
      </c>
      <c r="G1165" s="4">
        <v>1</v>
      </c>
      <c r="H1165" s="8">
        <v>0.55000000000000004</v>
      </c>
      <c r="I1165" s="4">
        <v>0</v>
      </c>
    </row>
    <row r="1166" spans="1:9" x14ac:dyDescent="0.2">
      <c r="A1166" s="2">
        <v>19</v>
      </c>
      <c r="B1166" s="1" t="s">
        <v>175</v>
      </c>
      <c r="C1166" s="4">
        <v>6</v>
      </c>
      <c r="D1166" s="8">
        <v>1.39</v>
      </c>
      <c r="E1166" s="4">
        <v>3</v>
      </c>
      <c r="F1166" s="8">
        <v>1.22</v>
      </c>
      <c r="G1166" s="4">
        <v>3</v>
      </c>
      <c r="H1166" s="8">
        <v>1.65</v>
      </c>
      <c r="I1166" s="4">
        <v>0</v>
      </c>
    </row>
    <row r="1167" spans="1:9" x14ac:dyDescent="0.2">
      <c r="A1167" s="2">
        <v>19</v>
      </c>
      <c r="B1167" s="1" t="s">
        <v>166</v>
      </c>
      <c r="C1167" s="4">
        <v>6</v>
      </c>
      <c r="D1167" s="8">
        <v>1.39</v>
      </c>
      <c r="E1167" s="4">
        <v>6</v>
      </c>
      <c r="F1167" s="8">
        <v>2.44</v>
      </c>
      <c r="G1167" s="4">
        <v>0</v>
      </c>
      <c r="H1167" s="8">
        <v>0</v>
      </c>
      <c r="I1167" s="4">
        <v>0</v>
      </c>
    </row>
    <row r="1168" spans="1:9" x14ac:dyDescent="0.2">
      <c r="A1168" s="1"/>
      <c r="C1168" s="4"/>
      <c r="D1168" s="8"/>
      <c r="E1168" s="4"/>
      <c r="F1168" s="8"/>
      <c r="G1168" s="4"/>
      <c r="H1168" s="8"/>
      <c r="I1168" s="4"/>
    </row>
    <row r="1169" spans="1:9" x14ac:dyDescent="0.2">
      <c r="A1169" s="1" t="s">
        <v>50</v>
      </c>
      <c r="C1169" s="4"/>
      <c r="D1169" s="8"/>
      <c r="E1169" s="4"/>
      <c r="F1169" s="8"/>
      <c r="G1169" s="4"/>
      <c r="H1169" s="8"/>
      <c r="I1169" s="4"/>
    </row>
    <row r="1170" spans="1:9" x14ac:dyDescent="0.2">
      <c r="A1170" s="2">
        <v>1</v>
      </c>
      <c r="B1170" s="1" t="s">
        <v>167</v>
      </c>
      <c r="C1170" s="4">
        <v>10</v>
      </c>
      <c r="D1170" s="8">
        <v>4.8499999999999996</v>
      </c>
      <c r="E1170" s="4">
        <v>5</v>
      </c>
      <c r="F1170" s="8">
        <v>7.58</v>
      </c>
      <c r="G1170" s="4">
        <v>5</v>
      </c>
      <c r="H1170" s="8">
        <v>3.62</v>
      </c>
      <c r="I1170" s="4">
        <v>0</v>
      </c>
    </row>
    <row r="1171" spans="1:9" x14ac:dyDescent="0.2">
      <c r="A1171" s="2">
        <v>2</v>
      </c>
      <c r="B1171" s="1" t="s">
        <v>150</v>
      </c>
      <c r="C1171" s="4">
        <v>8</v>
      </c>
      <c r="D1171" s="8">
        <v>3.88</v>
      </c>
      <c r="E1171" s="4">
        <v>5</v>
      </c>
      <c r="F1171" s="8">
        <v>7.58</v>
      </c>
      <c r="G1171" s="4">
        <v>3</v>
      </c>
      <c r="H1171" s="8">
        <v>2.17</v>
      </c>
      <c r="I1171" s="4">
        <v>0</v>
      </c>
    </row>
    <row r="1172" spans="1:9" x14ac:dyDescent="0.2">
      <c r="A1172" s="2">
        <v>2</v>
      </c>
      <c r="B1172" s="1" t="s">
        <v>225</v>
      </c>
      <c r="C1172" s="4">
        <v>8</v>
      </c>
      <c r="D1172" s="8">
        <v>3.88</v>
      </c>
      <c r="E1172" s="4">
        <v>0</v>
      </c>
      <c r="F1172" s="8">
        <v>0</v>
      </c>
      <c r="G1172" s="4">
        <v>8</v>
      </c>
      <c r="H1172" s="8">
        <v>5.8</v>
      </c>
      <c r="I1172" s="4">
        <v>0</v>
      </c>
    </row>
    <row r="1173" spans="1:9" x14ac:dyDescent="0.2">
      <c r="A1173" s="2">
        <v>4</v>
      </c>
      <c r="B1173" s="1" t="s">
        <v>192</v>
      </c>
      <c r="C1173" s="4">
        <v>7</v>
      </c>
      <c r="D1173" s="8">
        <v>3.4</v>
      </c>
      <c r="E1173" s="4">
        <v>6</v>
      </c>
      <c r="F1173" s="8">
        <v>9.09</v>
      </c>
      <c r="G1173" s="4">
        <v>1</v>
      </c>
      <c r="H1173" s="8">
        <v>0.72</v>
      </c>
      <c r="I1173" s="4">
        <v>0</v>
      </c>
    </row>
    <row r="1174" spans="1:9" x14ac:dyDescent="0.2">
      <c r="A1174" s="2">
        <v>5</v>
      </c>
      <c r="B1174" s="1" t="s">
        <v>148</v>
      </c>
      <c r="C1174" s="4">
        <v>6</v>
      </c>
      <c r="D1174" s="8">
        <v>2.91</v>
      </c>
      <c r="E1174" s="4">
        <v>0</v>
      </c>
      <c r="F1174" s="8">
        <v>0</v>
      </c>
      <c r="G1174" s="4">
        <v>6</v>
      </c>
      <c r="H1174" s="8">
        <v>4.3499999999999996</v>
      </c>
      <c r="I1174" s="4">
        <v>0</v>
      </c>
    </row>
    <row r="1175" spans="1:9" x14ac:dyDescent="0.2">
      <c r="A1175" s="2">
        <v>5</v>
      </c>
      <c r="B1175" s="1" t="s">
        <v>163</v>
      </c>
      <c r="C1175" s="4">
        <v>6</v>
      </c>
      <c r="D1175" s="8">
        <v>2.91</v>
      </c>
      <c r="E1175" s="4">
        <v>5</v>
      </c>
      <c r="F1175" s="8">
        <v>7.58</v>
      </c>
      <c r="G1175" s="4">
        <v>1</v>
      </c>
      <c r="H1175" s="8">
        <v>0.72</v>
      </c>
      <c r="I1175" s="4">
        <v>0</v>
      </c>
    </row>
    <row r="1176" spans="1:9" x14ac:dyDescent="0.2">
      <c r="A1176" s="2">
        <v>5</v>
      </c>
      <c r="B1176" s="1" t="s">
        <v>164</v>
      </c>
      <c r="C1176" s="4">
        <v>6</v>
      </c>
      <c r="D1176" s="8">
        <v>2.91</v>
      </c>
      <c r="E1176" s="4">
        <v>6</v>
      </c>
      <c r="F1176" s="8">
        <v>9.09</v>
      </c>
      <c r="G1176" s="4">
        <v>0</v>
      </c>
      <c r="H1176" s="8">
        <v>0</v>
      </c>
      <c r="I1176" s="4">
        <v>0</v>
      </c>
    </row>
    <row r="1177" spans="1:9" x14ac:dyDescent="0.2">
      <c r="A1177" s="2">
        <v>8</v>
      </c>
      <c r="B1177" s="1" t="s">
        <v>149</v>
      </c>
      <c r="C1177" s="4">
        <v>5</v>
      </c>
      <c r="D1177" s="8">
        <v>2.4300000000000002</v>
      </c>
      <c r="E1177" s="4">
        <v>1</v>
      </c>
      <c r="F1177" s="8">
        <v>1.52</v>
      </c>
      <c r="G1177" s="4">
        <v>4</v>
      </c>
      <c r="H1177" s="8">
        <v>2.9</v>
      </c>
      <c r="I1177" s="4">
        <v>0</v>
      </c>
    </row>
    <row r="1178" spans="1:9" x14ac:dyDescent="0.2">
      <c r="A1178" s="2">
        <v>8</v>
      </c>
      <c r="B1178" s="1" t="s">
        <v>226</v>
      </c>
      <c r="C1178" s="4">
        <v>5</v>
      </c>
      <c r="D1178" s="8">
        <v>2.4300000000000002</v>
      </c>
      <c r="E1178" s="4">
        <v>0</v>
      </c>
      <c r="F1178" s="8">
        <v>0</v>
      </c>
      <c r="G1178" s="4">
        <v>5</v>
      </c>
      <c r="H1178" s="8">
        <v>3.62</v>
      </c>
      <c r="I1178" s="4">
        <v>0</v>
      </c>
    </row>
    <row r="1179" spans="1:9" x14ac:dyDescent="0.2">
      <c r="A1179" s="2">
        <v>8</v>
      </c>
      <c r="B1179" s="1" t="s">
        <v>161</v>
      </c>
      <c r="C1179" s="4">
        <v>5</v>
      </c>
      <c r="D1179" s="8">
        <v>2.4300000000000002</v>
      </c>
      <c r="E1179" s="4">
        <v>2</v>
      </c>
      <c r="F1179" s="8">
        <v>3.03</v>
      </c>
      <c r="G1179" s="4">
        <v>3</v>
      </c>
      <c r="H1179" s="8">
        <v>2.17</v>
      </c>
      <c r="I1179" s="4">
        <v>0</v>
      </c>
    </row>
    <row r="1180" spans="1:9" x14ac:dyDescent="0.2">
      <c r="A1180" s="2">
        <v>11</v>
      </c>
      <c r="B1180" s="1" t="s">
        <v>203</v>
      </c>
      <c r="C1180" s="4">
        <v>4</v>
      </c>
      <c r="D1180" s="8">
        <v>1.94</v>
      </c>
      <c r="E1180" s="4">
        <v>0</v>
      </c>
      <c r="F1180" s="8">
        <v>0</v>
      </c>
      <c r="G1180" s="4">
        <v>4</v>
      </c>
      <c r="H1180" s="8">
        <v>2.9</v>
      </c>
      <c r="I1180" s="4">
        <v>0</v>
      </c>
    </row>
    <row r="1181" spans="1:9" x14ac:dyDescent="0.2">
      <c r="A1181" s="2">
        <v>11</v>
      </c>
      <c r="B1181" s="1" t="s">
        <v>190</v>
      </c>
      <c r="C1181" s="4">
        <v>4</v>
      </c>
      <c r="D1181" s="8">
        <v>1.94</v>
      </c>
      <c r="E1181" s="4">
        <v>3</v>
      </c>
      <c r="F1181" s="8">
        <v>4.55</v>
      </c>
      <c r="G1181" s="4">
        <v>1</v>
      </c>
      <c r="H1181" s="8">
        <v>0.72</v>
      </c>
      <c r="I1181" s="4">
        <v>0</v>
      </c>
    </row>
    <row r="1182" spans="1:9" x14ac:dyDescent="0.2">
      <c r="A1182" s="2">
        <v>13</v>
      </c>
      <c r="B1182" s="1" t="s">
        <v>224</v>
      </c>
      <c r="C1182" s="4">
        <v>3</v>
      </c>
      <c r="D1182" s="8">
        <v>1.46</v>
      </c>
      <c r="E1182" s="4">
        <v>0</v>
      </c>
      <c r="F1182" s="8">
        <v>0</v>
      </c>
      <c r="G1182" s="4">
        <v>3</v>
      </c>
      <c r="H1182" s="8">
        <v>2.17</v>
      </c>
      <c r="I1182" s="4">
        <v>0</v>
      </c>
    </row>
    <row r="1183" spans="1:9" x14ac:dyDescent="0.2">
      <c r="A1183" s="2">
        <v>13</v>
      </c>
      <c r="B1183" s="1" t="s">
        <v>154</v>
      </c>
      <c r="C1183" s="4">
        <v>3</v>
      </c>
      <c r="D1183" s="8">
        <v>1.46</v>
      </c>
      <c r="E1183" s="4">
        <v>2</v>
      </c>
      <c r="F1183" s="8">
        <v>3.03</v>
      </c>
      <c r="G1183" s="4">
        <v>1</v>
      </c>
      <c r="H1183" s="8">
        <v>0.72</v>
      </c>
      <c r="I1183" s="4">
        <v>0</v>
      </c>
    </row>
    <row r="1184" spans="1:9" x14ac:dyDescent="0.2">
      <c r="A1184" s="2">
        <v>13</v>
      </c>
      <c r="B1184" s="1" t="s">
        <v>214</v>
      </c>
      <c r="C1184" s="4">
        <v>3</v>
      </c>
      <c r="D1184" s="8">
        <v>1.46</v>
      </c>
      <c r="E1184" s="4">
        <v>0</v>
      </c>
      <c r="F1184" s="8">
        <v>0</v>
      </c>
      <c r="G1184" s="4">
        <v>3</v>
      </c>
      <c r="H1184" s="8">
        <v>2.17</v>
      </c>
      <c r="I1184" s="4">
        <v>0</v>
      </c>
    </row>
    <row r="1185" spans="1:9" x14ac:dyDescent="0.2">
      <c r="A1185" s="2">
        <v>13</v>
      </c>
      <c r="B1185" s="1" t="s">
        <v>191</v>
      </c>
      <c r="C1185" s="4">
        <v>3</v>
      </c>
      <c r="D1185" s="8">
        <v>1.46</v>
      </c>
      <c r="E1185" s="4">
        <v>0</v>
      </c>
      <c r="F1185" s="8">
        <v>0</v>
      </c>
      <c r="G1185" s="4">
        <v>3</v>
      </c>
      <c r="H1185" s="8">
        <v>2.17</v>
      </c>
      <c r="I1185" s="4">
        <v>0</v>
      </c>
    </row>
    <row r="1186" spans="1:9" x14ac:dyDescent="0.2">
      <c r="A1186" s="2">
        <v>13</v>
      </c>
      <c r="B1186" s="1" t="s">
        <v>156</v>
      </c>
      <c r="C1186" s="4">
        <v>3</v>
      </c>
      <c r="D1186" s="8">
        <v>1.46</v>
      </c>
      <c r="E1186" s="4">
        <v>1</v>
      </c>
      <c r="F1186" s="8">
        <v>1.52</v>
      </c>
      <c r="G1186" s="4">
        <v>2</v>
      </c>
      <c r="H1186" s="8">
        <v>1.45</v>
      </c>
      <c r="I1186" s="4">
        <v>0</v>
      </c>
    </row>
    <row r="1187" spans="1:9" x14ac:dyDescent="0.2">
      <c r="A1187" s="2">
        <v>13</v>
      </c>
      <c r="B1187" s="1" t="s">
        <v>157</v>
      </c>
      <c r="C1187" s="4">
        <v>3</v>
      </c>
      <c r="D1187" s="8">
        <v>1.46</v>
      </c>
      <c r="E1187" s="4">
        <v>0</v>
      </c>
      <c r="F1187" s="8">
        <v>0</v>
      </c>
      <c r="G1187" s="4">
        <v>3</v>
      </c>
      <c r="H1187" s="8">
        <v>2.17</v>
      </c>
      <c r="I1187" s="4">
        <v>0</v>
      </c>
    </row>
    <row r="1188" spans="1:9" x14ac:dyDescent="0.2">
      <c r="A1188" s="2">
        <v>13</v>
      </c>
      <c r="B1188" s="1" t="s">
        <v>159</v>
      </c>
      <c r="C1188" s="4">
        <v>3</v>
      </c>
      <c r="D1188" s="8">
        <v>1.46</v>
      </c>
      <c r="E1188" s="4">
        <v>0</v>
      </c>
      <c r="F1188" s="8">
        <v>0</v>
      </c>
      <c r="G1188" s="4">
        <v>3</v>
      </c>
      <c r="H1188" s="8">
        <v>2.17</v>
      </c>
      <c r="I1188" s="4">
        <v>0</v>
      </c>
    </row>
    <row r="1189" spans="1:9" x14ac:dyDescent="0.2">
      <c r="A1189" s="2">
        <v>13</v>
      </c>
      <c r="B1189" s="1" t="s">
        <v>160</v>
      </c>
      <c r="C1189" s="4">
        <v>3</v>
      </c>
      <c r="D1189" s="8">
        <v>1.46</v>
      </c>
      <c r="E1189" s="4">
        <v>1</v>
      </c>
      <c r="F1189" s="8">
        <v>1.52</v>
      </c>
      <c r="G1189" s="4">
        <v>2</v>
      </c>
      <c r="H1189" s="8">
        <v>1.45</v>
      </c>
      <c r="I1189" s="4">
        <v>0</v>
      </c>
    </row>
    <row r="1190" spans="1:9" x14ac:dyDescent="0.2">
      <c r="A1190" s="1"/>
      <c r="C1190" s="4"/>
      <c r="D1190" s="8"/>
      <c r="E1190" s="4"/>
      <c r="F1190" s="8"/>
      <c r="G1190" s="4"/>
      <c r="H1190" s="8"/>
      <c r="I1190" s="4"/>
    </row>
    <row r="1191" spans="1:9" x14ac:dyDescent="0.2">
      <c r="A1191" s="1" t="s">
        <v>51</v>
      </c>
      <c r="C1191" s="4"/>
      <c r="D1191" s="8"/>
      <c r="E1191" s="4"/>
      <c r="F1191" s="8"/>
      <c r="G1191" s="4"/>
      <c r="H1191" s="8"/>
      <c r="I1191" s="4"/>
    </row>
    <row r="1192" spans="1:9" x14ac:dyDescent="0.2">
      <c r="A1192" s="2">
        <v>1</v>
      </c>
      <c r="B1192" s="1" t="s">
        <v>164</v>
      </c>
      <c r="C1192" s="4">
        <v>32</v>
      </c>
      <c r="D1192" s="8">
        <v>6.05</v>
      </c>
      <c r="E1192" s="4">
        <v>31</v>
      </c>
      <c r="F1192" s="8">
        <v>10.130000000000001</v>
      </c>
      <c r="G1192" s="4">
        <v>1</v>
      </c>
      <c r="H1192" s="8">
        <v>0.46</v>
      </c>
      <c r="I1192" s="4">
        <v>0</v>
      </c>
    </row>
    <row r="1193" spans="1:9" x14ac:dyDescent="0.2">
      <c r="A1193" s="2">
        <v>2</v>
      </c>
      <c r="B1193" s="1" t="s">
        <v>163</v>
      </c>
      <c r="C1193" s="4">
        <v>24</v>
      </c>
      <c r="D1193" s="8">
        <v>4.54</v>
      </c>
      <c r="E1193" s="4">
        <v>23</v>
      </c>
      <c r="F1193" s="8">
        <v>7.52</v>
      </c>
      <c r="G1193" s="4">
        <v>1</v>
      </c>
      <c r="H1193" s="8">
        <v>0.46</v>
      </c>
      <c r="I1193" s="4">
        <v>0</v>
      </c>
    </row>
    <row r="1194" spans="1:9" x14ac:dyDescent="0.2">
      <c r="A1194" s="2">
        <v>3</v>
      </c>
      <c r="B1194" s="1" t="s">
        <v>161</v>
      </c>
      <c r="C1194" s="4">
        <v>18</v>
      </c>
      <c r="D1194" s="8">
        <v>3.4</v>
      </c>
      <c r="E1194" s="4">
        <v>16</v>
      </c>
      <c r="F1194" s="8">
        <v>5.23</v>
      </c>
      <c r="G1194" s="4">
        <v>2</v>
      </c>
      <c r="H1194" s="8">
        <v>0.91</v>
      </c>
      <c r="I1194" s="4">
        <v>0</v>
      </c>
    </row>
    <row r="1195" spans="1:9" x14ac:dyDescent="0.2">
      <c r="A1195" s="2">
        <v>4</v>
      </c>
      <c r="B1195" s="1" t="s">
        <v>150</v>
      </c>
      <c r="C1195" s="4">
        <v>17</v>
      </c>
      <c r="D1195" s="8">
        <v>3.21</v>
      </c>
      <c r="E1195" s="4">
        <v>11</v>
      </c>
      <c r="F1195" s="8">
        <v>3.59</v>
      </c>
      <c r="G1195" s="4">
        <v>6</v>
      </c>
      <c r="H1195" s="8">
        <v>2.74</v>
      </c>
      <c r="I1195" s="4">
        <v>0</v>
      </c>
    </row>
    <row r="1196" spans="1:9" x14ac:dyDescent="0.2">
      <c r="A1196" s="2">
        <v>5</v>
      </c>
      <c r="B1196" s="1" t="s">
        <v>148</v>
      </c>
      <c r="C1196" s="4">
        <v>16</v>
      </c>
      <c r="D1196" s="8">
        <v>3.02</v>
      </c>
      <c r="E1196" s="4">
        <v>1</v>
      </c>
      <c r="F1196" s="8">
        <v>0.33</v>
      </c>
      <c r="G1196" s="4">
        <v>15</v>
      </c>
      <c r="H1196" s="8">
        <v>6.85</v>
      </c>
      <c r="I1196" s="4">
        <v>0</v>
      </c>
    </row>
    <row r="1197" spans="1:9" x14ac:dyDescent="0.2">
      <c r="A1197" s="2">
        <v>6</v>
      </c>
      <c r="B1197" s="1" t="s">
        <v>167</v>
      </c>
      <c r="C1197" s="4">
        <v>15</v>
      </c>
      <c r="D1197" s="8">
        <v>2.84</v>
      </c>
      <c r="E1197" s="4">
        <v>12</v>
      </c>
      <c r="F1197" s="8">
        <v>3.92</v>
      </c>
      <c r="G1197" s="4">
        <v>3</v>
      </c>
      <c r="H1197" s="8">
        <v>1.37</v>
      </c>
      <c r="I1197" s="4">
        <v>0</v>
      </c>
    </row>
    <row r="1198" spans="1:9" x14ac:dyDescent="0.2">
      <c r="A1198" s="2">
        <v>7</v>
      </c>
      <c r="B1198" s="1" t="s">
        <v>197</v>
      </c>
      <c r="C1198" s="4">
        <v>14</v>
      </c>
      <c r="D1198" s="8">
        <v>2.65</v>
      </c>
      <c r="E1198" s="4">
        <v>11</v>
      </c>
      <c r="F1198" s="8">
        <v>3.59</v>
      </c>
      <c r="G1198" s="4">
        <v>3</v>
      </c>
      <c r="H1198" s="8">
        <v>1.37</v>
      </c>
      <c r="I1198" s="4">
        <v>0</v>
      </c>
    </row>
    <row r="1199" spans="1:9" x14ac:dyDescent="0.2">
      <c r="A1199" s="2">
        <v>8</v>
      </c>
      <c r="B1199" s="1" t="s">
        <v>152</v>
      </c>
      <c r="C1199" s="4">
        <v>13</v>
      </c>
      <c r="D1199" s="8">
        <v>2.46</v>
      </c>
      <c r="E1199" s="4">
        <v>8</v>
      </c>
      <c r="F1199" s="8">
        <v>2.61</v>
      </c>
      <c r="G1199" s="4">
        <v>5</v>
      </c>
      <c r="H1199" s="8">
        <v>2.2799999999999998</v>
      </c>
      <c r="I1199" s="4">
        <v>0</v>
      </c>
    </row>
    <row r="1200" spans="1:9" x14ac:dyDescent="0.2">
      <c r="A1200" s="2">
        <v>9</v>
      </c>
      <c r="B1200" s="1" t="s">
        <v>175</v>
      </c>
      <c r="C1200" s="4">
        <v>12</v>
      </c>
      <c r="D1200" s="8">
        <v>2.27</v>
      </c>
      <c r="E1200" s="4">
        <v>2</v>
      </c>
      <c r="F1200" s="8">
        <v>0.65</v>
      </c>
      <c r="G1200" s="4">
        <v>10</v>
      </c>
      <c r="H1200" s="8">
        <v>4.57</v>
      </c>
      <c r="I1200" s="4">
        <v>0</v>
      </c>
    </row>
    <row r="1201" spans="1:9" x14ac:dyDescent="0.2">
      <c r="A1201" s="2">
        <v>9</v>
      </c>
      <c r="B1201" s="1" t="s">
        <v>158</v>
      </c>
      <c r="C1201" s="4">
        <v>12</v>
      </c>
      <c r="D1201" s="8">
        <v>2.27</v>
      </c>
      <c r="E1201" s="4">
        <v>10</v>
      </c>
      <c r="F1201" s="8">
        <v>3.27</v>
      </c>
      <c r="G1201" s="4">
        <v>2</v>
      </c>
      <c r="H1201" s="8">
        <v>0.91</v>
      </c>
      <c r="I1201" s="4">
        <v>0</v>
      </c>
    </row>
    <row r="1202" spans="1:9" x14ac:dyDescent="0.2">
      <c r="A1202" s="2">
        <v>11</v>
      </c>
      <c r="B1202" s="1" t="s">
        <v>155</v>
      </c>
      <c r="C1202" s="4">
        <v>11</v>
      </c>
      <c r="D1202" s="8">
        <v>2.08</v>
      </c>
      <c r="E1202" s="4">
        <v>6</v>
      </c>
      <c r="F1202" s="8">
        <v>1.96</v>
      </c>
      <c r="G1202" s="4">
        <v>5</v>
      </c>
      <c r="H1202" s="8">
        <v>2.2799999999999998</v>
      </c>
      <c r="I1202" s="4">
        <v>0</v>
      </c>
    </row>
    <row r="1203" spans="1:9" x14ac:dyDescent="0.2">
      <c r="A1203" s="2">
        <v>11</v>
      </c>
      <c r="B1203" s="1" t="s">
        <v>156</v>
      </c>
      <c r="C1203" s="4">
        <v>11</v>
      </c>
      <c r="D1203" s="8">
        <v>2.08</v>
      </c>
      <c r="E1203" s="4">
        <v>5</v>
      </c>
      <c r="F1203" s="8">
        <v>1.63</v>
      </c>
      <c r="G1203" s="4">
        <v>6</v>
      </c>
      <c r="H1203" s="8">
        <v>2.74</v>
      </c>
      <c r="I1203" s="4">
        <v>0</v>
      </c>
    </row>
    <row r="1204" spans="1:9" x14ac:dyDescent="0.2">
      <c r="A1204" s="2">
        <v>13</v>
      </c>
      <c r="B1204" s="1" t="s">
        <v>153</v>
      </c>
      <c r="C1204" s="4">
        <v>10</v>
      </c>
      <c r="D1204" s="8">
        <v>1.89</v>
      </c>
      <c r="E1204" s="4">
        <v>5</v>
      </c>
      <c r="F1204" s="8">
        <v>1.63</v>
      </c>
      <c r="G1204" s="4">
        <v>5</v>
      </c>
      <c r="H1204" s="8">
        <v>2.2799999999999998</v>
      </c>
      <c r="I1204" s="4">
        <v>0</v>
      </c>
    </row>
    <row r="1205" spans="1:9" x14ac:dyDescent="0.2">
      <c r="A1205" s="2">
        <v>13</v>
      </c>
      <c r="B1205" s="1" t="s">
        <v>162</v>
      </c>
      <c r="C1205" s="4">
        <v>10</v>
      </c>
      <c r="D1205" s="8">
        <v>1.89</v>
      </c>
      <c r="E1205" s="4">
        <v>10</v>
      </c>
      <c r="F1205" s="8">
        <v>3.27</v>
      </c>
      <c r="G1205" s="4">
        <v>0</v>
      </c>
      <c r="H1205" s="8">
        <v>0</v>
      </c>
      <c r="I1205" s="4">
        <v>0</v>
      </c>
    </row>
    <row r="1206" spans="1:9" x14ac:dyDescent="0.2">
      <c r="A1206" s="2">
        <v>15</v>
      </c>
      <c r="B1206" s="1" t="s">
        <v>149</v>
      </c>
      <c r="C1206" s="4">
        <v>8</v>
      </c>
      <c r="D1206" s="8">
        <v>1.51</v>
      </c>
      <c r="E1206" s="4">
        <v>3</v>
      </c>
      <c r="F1206" s="8">
        <v>0.98</v>
      </c>
      <c r="G1206" s="4">
        <v>5</v>
      </c>
      <c r="H1206" s="8">
        <v>2.2799999999999998</v>
      </c>
      <c r="I1206" s="4">
        <v>0</v>
      </c>
    </row>
    <row r="1207" spans="1:9" x14ac:dyDescent="0.2">
      <c r="A1207" s="2">
        <v>15</v>
      </c>
      <c r="B1207" s="1" t="s">
        <v>154</v>
      </c>
      <c r="C1207" s="4">
        <v>8</v>
      </c>
      <c r="D1207" s="8">
        <v>1.51</v>
      </c>
      <c r="E1207" s="4">
        <v>3</v>
      </c>
      <c r="F1207" s="8">
        <v>0.98</v>
      </c>
      <c r="G1207" s="4">
        <v>5</v>
      </c>
      <c r="H1207" s="8">
        <v>2.2799999999999998</v>
      </c>
      <c r="I1207" s="4">
        <v>0</v>
      </c>
    </row>
    <row r="1208" spans="1:9" x14ac:dyDescent="0.2">
      <c r="A1208" s="2">
        <v>15</v>
      </c>
      <c r="B1208" s="1" t="s">
        <v>204</v>
      </c>
      <c r="C1208" s="4">
        <v>8</v>
      </c>
      <c r="D1208" s="8">
        <v>1.51</v>
      </c>
      <c r="E1208" s="4">
        <v>4</v>
      </c>
      <c r="F1208" s="8">
        <v>1.31</v>
      </c>
      <c r="G1208" s="4">
        <v>4</v>
      </c>
      <c r="H1208" s="8">
        <v>1.83</v>
      </c>
      <c r="I1208" s="4">
        <v>0</v>
      </c>
    </row>
    <row r="1209" spans="1:9" x14ac:dyDescent="0.2">
      <c r="A1209" s="2">
        <v>15</v>
      </c>
      <c r="B1209" s="1" t="s">
        <v>194</v>
      </c>
      <c r="C1209" s="4">
        <v>8</v>
      </c>
      <c r="D1209" s="8">
        <v>1.51</v>
      </c>
      <c r="E1209" s="4">
        <v>5</v>
      </c>
      <c r="F1209" s="8">
        <v>1.63</v>
      </c>
      <c r="G1209" s="4">
        <v>3</v>
      </c>
      <c r="H1209" s="8">
        <v>1.37</v>
      </c>
      <c r="I1209" s="4">
        <v>0</v>
      </c>
    </row>
    <row r="1210" spans="1:9" x14ac:dyDescent="0.2">
      <c r="A1210" s="2">
        <v>15</v>
      </c>
      <c r="B1210" s="1" t="s">
        <v>192</v>
      </c>
      <c r="C1210" s="4">
        <v>8</v>
      </c>
      <c r="D1210" s="8">
        <v>1.51</v>
      </c>
      <c r="E1210" s="4">
        <v>6</v>
      </c>
      <c r="F1210" s="8">
        <v>1.96</v>
      </c>
      <c r="G1210" s="4">
        <v>1</v>
      </c>
      <c r="H1210" s="8">
        <v>0.46</v>
      </c>
      <c r="I1210" s="4">
        <v>1</v>
      </c>
    </row>
    <row r="1211" spans="1:9" x14ac:dyDescent="0.2">
      <c r="A1211" s="2">
        <v>15</v>
      </c>
      <c r="B1211" s="1" t="s">
        <v>166</v>
      </c>
      <c r="C1211" s="4">
        <v>8</v>
      </c>
      <c r="D1211" s="8">
        <v>1.51</v>
      </c>
      <c r="E1211" s="4">
        <v>8</v>
      </c>
      <c r="F1211" s="8">
        <v>2.61</v>
      </c>
      <c r="G1211" s="4">
        <v>0</v>
      </c>
      <c r="H1211" s="8">
        <v>0</v>
      </c>
      <c r="I1211" s="4">
        <v>0</v>
      </c>
    </row>
    <row r="1212" spans="1:9" x14ac:dyDescent="0.2">
      <c r="A1212" s="1"/>
      <c r="C1212" s="4"/>
      <c r="D1212" s="8"/>
      <c r="E1212" s="4"/>
      <c r="F1212" s="8"/>
      <c r="G1212" s="4"/>
      <c r="H1212" s="8"/>
      <c r="I1212" s="4"/>
    </row>
    <row r="1213" spans="1:9" x14ac:dyDescent="0.2">
      <c r="A1213" s="1" t="s">
        <v>52</v>
      </c>
      <c r="C1213" s="4"/>
      <c r="D1213" s="8"/>
      <c r="E1213" s="4"/>
      <c r="F1213" s="8"/>
      <c r="G1213" s="4"/>
      <c r="H1213" s="8"/>
      <c r="I1213" s="4"/>
    </row>
    <row r="1214" spans="1:9" x14ac:dyDescent="0.2">
      <c r="A1214" s="2">
        <v>1</v>
      </c>
      <c r="B1214" s="1" t="s">
        <v>164</v>
      </c>
      <c r="C1214" s="4">
        <v>25</v>
      </c>
      <c r="D1214" s="8">
        <v>7.27</v>
      </c>
      <c r="E1214" s="4">
        <v>24</v>
      </c>
      <c r="F1214" s="8">
        <v>11.32</v>
      </c>
      <c r="G1214" s="4">
        <v>1</v>
      </c>
      <c r="H1214" s="8">
        <v>0.77</v>
      </c>
      <c r="I1214" s="4">
        <v>0</v>
      </c>
    </row>
    <row r="1215" spans="1:9" x14ac:dyDescent="0.2">
      <c r="A1215" s="2">
        <v>2</v>
      </c>
      <c r="B1215" s="1" t="s">
        <v>161</v>
      </c>
      <c r="C1215" s="4">
        <v>19</v>
      </c>
      <c r="D1215" s="8">
        <v>5.52</v>
      </c>
      <c r="E1215" s="4">
        <v>15</v>
      </c>
      <c r="F1215" s="8">
        <v>7.08</v>
      </c>
      <c r="G1215" s="4">
        <v>4</v>
      </c>
      <c r="H1215" s="8">
        <v>3.08</v>
      </c>
      <c r="I1215" s="4">
        <v>0</v>
      </c>
    </row>
    <row r="1216" spans="1:9" x14ac:dyDescent="0.2">
      <c r="A1216" s="2">
        <v>3</v>
      </c>
      <c r="B1216" s="1" t="s">
        <v>163</v>
      </c>
      <c r="C1216" s="4">
        <v>13</v>
      </c>
      <c r="D1216" s="8">
        <v>3.78</v>
      </c>
      <c r="E1216" s="4">
        <v>13</v>
      </c>
      <c r="F1216" s="8">
        <v>6.13</v>
      </c>
      <c r="G1216" s="4">
        <v>0</v>
      </c>
      <c r="H1216" s="8">
        <v>0</v>
      </c>
      <c r="I1216" s="4">
        <v>0</v>
      </c>
    </row>
    <row r="1217" spans="1:9" x14ac:dyDescent="0.2">
      <c r="A1217" s="2">
        <v>4</v>
      </c>
      <c r="B1217" s="1" t="s">
        <v>195</v>
      </c>
      <c r="C1217" s="4">
        <v>12</v>
      </c>
      <c r="D1217" s="8">
        <v>3.49</v>
      </c>
      <c r="E1217" s="4">
        <v>11</v>
      </c>
      <c r="F1217" s="8">
        <v>5.19</v>
      </c>
      <c r="G1217" s="4">
        <v>1</v>
      </c>
      <c r="H1217" s="8">
        <v>0.77</v>
      </c>
      <c r="I1217" s="4">
        <v>0</v>
      </c>
    </row>
    <row r="1218" spans="1:9" x14ac:dyDescent="0.2">
      <c r="A1218" s="2">
        <v>5</v>
      </c>
      <c r="B1218" s="1" t="s">
        <v>167</v>
      </c>
      <c r="C1218" s="4">
        <v>11</v>
      </c>
      <c r="D1218" s="8">
        <v>3.2</v>
      </c>
      <c r="E1218" s="4">
        <v>8</v>
      </c>
      <c r="F1218" s="8">
        <v>3.77</v>
      </c>
      <c r="G1218" s="4">
        <v>3</v>
      </c>
      <c r="H1218" s="8">
        <v>2.31</v>
      </c>
      <c r="I1218" s="4">
        <v>0</v>
      </c>
    </row>
    <row r="1219" spans="1:9" x14ac:dyDescent="0.2">
      <c r="A1219" s="2">
        <v>6</v>
      </c>
      <c r="B1219" s="1" t="s">
        <v>202</v>
      </c>
      <c r="C1219" s="4">
        <v>10</v>
      </c>
      <c r="D1219" s="8">
        <v>2.91</v>
      </c>
      <c r="E1219" s="4">
        <v>8</v>
      </c>
      <c r="F1219" s="8">
        <v>3.77</v>
      </c>
      <c r="G1219" s="4">
        <v>2</v>
      </c>
      <c r="H1219" s="8">
        <v>1.54</v>
      </c>
      <c r="I1219" s="4">
        <v>0</v>
      </c>
    </row>
    <row r="1220" spans="1:9" x14ac:dyDescent="0.2">
      <c r="A1220" s="2">
        <v>6</v>
      </c>
      <c r="B1220" s="1" t="s">
        <v>166</v>
      </c>
      <c r="C1220" s="4">
        <v>10</v>
      </c>
      <c r="D1220" s="8">
        <v>2.91</v>
      </c>
      <c r="E1220" s="4">
        <v>8</v>
      </c>
      <c r="F1220" s="8">
        <v>3.77</v>
      </c>
      <c r="G1220" s="4">
        <v>2</v>
      </c>
      <c r="H1220" s="8">
        <v>1.54</v>
      </c>
      <c r="I1220" s="4">
        <v>0</v>
      </c>
    </row>
    <row r="1221" spans="1:9" x14ac:dyDescent="0.2">
      <c r="A1221" s="2">
        <v>8</v>
      </c>
      <c r="B1221" s="1" t="s">
        <v>156</v>
      </c>
      <c r="C1221" s="4">
        <v>9</v>
      </c>
      <c r="D1221" s="8">
        <v>2.62</v>
      </c>
      <c r="E1221" s="4">
        <v>5</v>
      </c>
      <c r="F1221" s="8">
        <v>2.36</v>
      </c>
      <c r="G1221" s="4">
        <v>4</v>
      </c>
      <c r="H1221" s="8">
        <v>3.08</v>
      </c>
      <c r="I1221" s="4">
        <v>0</v>
      </c>
    </row>
    <row r="1222" spans="1:9" x14ac:dyDescent="0.2">
      <c r="A1222" s="2">
        <v>9</v>
      </c>
      <c r="B1222" s="1" t="s">
        <v>154</v>
      </c>
      <c r="C1222" s="4">
        <v>8</v>
      </c>
      <c r="D1222" s="8">
        <v>2.33</v>
      </c>
      <c r="E1222" s="4">
        <v>6</v>
      </c>
      <c r="F1222" s="8">
        <v>2.83</v>
      </c>
      <c r="G1222" s="4">
        <v>2</v>
      </c>
      <c r="H1222" s="8">
        <v>1.54</v>
      </c>
      <c r="I1222" s="4">
        <v>0</v>
      </c>
    </row>
    <row r="1223" spans="1:9" x14ac:dyDescent="0.2">
      <c r="A1223" s="2">
        <v>10</v>
      </c>
      <c r="B1223" s="1" t="s">
        <v>153</v>
      </c>
      <c r="C1223" s="4">
        <v>7</v>
      </c>
      <c r="D1223" s="8">
        <v>2.0299999999999998</v>
      </c>
      <c r="E1223" s="4">
        <v>2</v>
      </c>
      <c r="F1223" s="8">
        <v>0.94</v>
      </c>
      <c r="G1223" s="4">
        <v>5</v>
      </c>
      <c r="H1223" s="8">
        <v>3.85</v>
      </c>
      <c r="I1223" s="4">
        <v>0</v>
      </c>
    </row>
    <row r="1224" spans="1:9" x14ac:dyDescent="0.2">
      <c r="A1224" s="2">
        <v>10</v>
      </c>
      <c r="B1224" s="1" t="s">
        <v>168</v>
      </c>
      <c r="C1224" s="4">
        <v>7</v>
      </c>
      <c r="D1224" s="8">
        <v>2.0299999999999998</v>
      </c>
      <c r="E1224" s="4">
        <v>0</v>
      </c>
      <c r="F1224" s="8">
        <v>0</v>
      </c>
      <c r="G1224" s="4">
        <v>7</v>
      </c>
      <c r="H1224" s="8">
        <v>5.38</v>
      </c>
      <c r="I1224" s="4">
        <v>0</v>
      </c>
    </row>
    <row r="1225" spans="1:9" x14ac:dyDescent="0.2">
      <c r="A1225" s="2">
        <v>10</v>
      </c>
      <c r="B1225" s="1" t="s">
        <v>192</v>
      </c>
      <c r="C1225" s="4">
        <v>7</v>
      </c>
      <c r="D1225" s="8">
        <v>2.0299999999999998</v>
      </c>
      <c r="E1225" s="4">
        <v>7</v>
      </c>
      <c r="F1225" s="8">
        <v>3.3</v>
      </c>
      <c r="G1225" s="4">
        <v>0</v>
      </c>
      <c r="H1225" s="8">
        <v>0</v>
      </c>
      <c r="I1225" s="4">
        <v>0</v>
      </c>
    </row>
    <row r="1226" spans="1:9" x14ac:dyDescent="0.2">
      <c r="A1226" s="2">
        <v>13</v>
      </c>
      <c r="B1226" s="1" t="s">
        <v>150</v>
      </c>
      <c r="C1226" s="4">
        <v>6</v>
      </c>
      <c r="D1226" s="8">
        <v>1.74</v>
      </c>
      <c r="E1226" s="4">
        <v>2</v>
      </c>
      <c r="F1226" s="8">
        <v>0.94</v>
      </c>
      <c r="G1226" s="4">
        <v>4</v>
      </c>
      <c r="H1226" s="8">
        <v>3.08</v>
      </c>
      <c r="I1226" s="4">
        <v>0</v>
      </c>
    </row>
    <row r="1227" spans="1:9" x14ac:dyDescent="0.2">
      <c r="A1227" s="2">
        <v>13</v>
      </c>
      <c r="B1227" s="1" t="s">
        <v>174</v>
      </c>
      <c r="C1227" s="4">
        <v>6</v>
      </c>
      <c r="D1227" s="8">
        <v>1.74</v>
      </c>
      <c r="E1227" s="4">
        <v>2</v>
      </c>
      <c r="F1227" s="8">
        <v>0.94</v>
      </c>
      <c r="G1227" s="4">
        <v>4</v>
      </c>
      <c r="H1227" s="8">
        <v>3.08</v>
      </c>
      <c r="I1227" s="4">
        <v>0</v>
      </c>
    </row>
    <row r="1228" spans="1:9" x14ac:dyDescent="0.2">
      <c r="A1228" s="2">
        <v>13</v>
      </c>
      <c r="B1228" s="1" t="s">
        <v>155</v>
      </c>
      <c r="C1228" s="4">
        <v>6</v>
      </c>
      <c r="D1228" s="8">
        <v>1.74</v>
      </c>
      <c r="E1228" s="4">
        <v>3</v>
      </c>
      <c r="F1228" s="8">
        <v>1.42</v>
      </c>
      <c r="G1228" s="4">
        <v>3</v>
      </c>
      <c r="H1228" s="8">
        <v>2.31</v>
      </c>
      <c r="I1228" s="4">
        <v>0</v>
      </c>
    </row>
    <row r="1229" spans="1:9" x14ac:dyDescent="0.2">
      <c r="A1229" s="2">
        <v>13</v>
      </c>
      <c r="B1229" s="1" t="s">
        <v>158</v>
      </c>
      <c r="C1229" s="4">
        <v>6</v>
      </c>
      <c r="D1229" s="8">
        <v>1.74</v>
      </c>
      <c r="E1229" s="4">
        <v>4</v>
      </c>
      <c r="F1229" s="8">
        <v>1.89</v>
      </c>
      <c r="G1229" s="4">
        <v>2</v>
      </c>
      <c r="H1229" s="8">
        <v>1.54</v>
      </c>
      <c r="I1229" s="4">
        <v>0</v>
      </c>
    </row>
    <row r="1230" spans="1:9" x14ac:dyDescent="0.2">
      <c r="A1230" s="2">
        <v>13</v>
      </c>
      <c r="B1230" s="1" t="s">
        <v>162</v>
      </c>
      <c r="C1230" s="4">
        <v>6</v>
      </c>
      <c r="D1230" s="8">
        <v>1.74</v>
      </c>
      <c r="E1230" s="4">
        <v>6</v>
      </c>
      <c r="F1230" s="8">
        <v>2.83</v>
      </c>
      <c r="G1230" s="4">
        <v>0</v>
      </c>
      <c r="H1230" s="8">
        <v>0</v>
      </c>
      <c r="I1230" s="4">
        <v>0</v>
      </c>
    </row>
    <row r="1231" spans="1:9" x14ac:dyDescent="0.2">
      <c r="A1231" s="2">
        <v>18</v>
      </c>
      <c r="B1231" s="1" t="s">
        <v>148</v>
      </c>
      <c r="C1231" s="4">
        <v>5</v>
      </c>
      <c r="D1231" s="8">
        <v>1.45</v>
      </c>
      <c r="E1231" s="4">
        <v>0</v>
      </c>
      <c r="F1231" s="8">
        <v>0</v>
      </c>
      <c r="G1231" s="4">
        <v>5</v>
      </c>
      <c r="H1231" s="8">
        <v>3.85</v>
      </c>
      <c r="I1231" s="4">
        <v>0</v>
      </c>
    </row>
    <row r="1232" spans="1:9" x14ac:dyDescent="0.2">
      <c r="A1232" s="2">
        <v>18</v>
      </c>
      <c r="B1232" s="1" t="s">
        <v>151</v>
      </c>
      <c r="C1232" s="4">
        <v>5</v>
      </c>
      <c r="D1232" s="8">
        <v>1.45</v>
      </c>
      <c r="E1232" s="4">
        <v>0</v>
      </c>
      <c r="F1232" s="8">
        <v>0</v>
      </c>
      <c r="G1232" s="4">
        <v>5</v>
      </c>
      <c r="H1232" s="8">
        <v>3.85</v>
      </c>
      <c r="I1232" s="4">
        <v>0</v>
      </c>
    </row>
    <row r="1233" spans="1:9" x14ac:dyDescent="0.2">
      <c r="A1233" s="2">
        <v>18</v>
      </c>
      <c r="B1233" s="1" t="s">
        <v>190</v>
      </c>
      <c r="C1233" s="4">
        <v>5</v>
      </c>
      <c r="D1233" s="8">
        <v>1.45</v>
      </c>
      <c r="E1233" s="4">
        <v>3</v>
      </c>
      <c r="F1233" s="8">
        <v>1.42</v>
      </c>
      <c r="G1233" s="4">
        <v>2</v>
      </c>
      <c r="H1233" s="8">
        <v>1.54</v>
      </c>
      <c r="I1233" s="4">
        <v>0</v>
      </c>
    </row>
    <row r="1234" spans="1:9" x14ac:dyDescent="0.2">
      <c r="A1234" s="2">
        <v>18</v>
      </c>
      <c r="B1234" s="1" t="s">
        <v>227</v>
      </c>
      <c r="C1234" s="4">
        <v>5</v>
      </c>
      <c r="D1234" s="8">
        <v>1.45</v>
      </c>
      <c r="E1234" s="4">
        <v>5</v>
      </c>
      <c r="F1234" s="8">
        <v>2.36</v>
      </c>
      <c r="G1234" s="4">
        <v>0</v>
      </c>
      <c r="H1234" s="8">
        <v>0</v>
      </c>
      <c r="I1234" s="4">
        <v>0</v>
      </c>
    </row>
    <row r="1235" spans="1:9" x14ac:dyDescent="0.2">
      <c r="A1235" s="2">
        <v>18</v>
      </c>
      <c r="B1235" s="1" t="s">
        <v>169</v>
      </c>
      <c r="C1235" s="4">
        <v>5</v>
      </c>
      <c r="D1235" s="8">
        <v>1.45</v>
      </c>
      <c r="E1235" s="4">
        <v>5</v>
      </c>
      <c r="F1235" s="8">
        <v>2.36</v>
      </c>
      <c r="G1235" s="4">
        <v>0</v>
      </c>
      <c r="H1235" s="8">
        <v>0</v>
      </c>
      <c r="I1235" s="4">
        <v>0</v>
      </c>
    </row>
    <row r="1236" spans="1:9" x14ac:dyDescent="0.2">
      <c r="A1236" s="2">
        <v>18</v>
      </c>
      <c r="B1236" s="1" t="s">
        <v>170</v>
      </c>
      <c r="C1236" s="4">
        <v>5</v>
      </c>
      <c r="D1236" s="8">
        <v>1.45</v>
      </c>
      <c r="E1236" s="4">
        <v>2</v>
      </c>
      <c r="F1236" s="8">
        <v>0.94</v>
      </c>
      <c r="G1236" s="4">
        <v>3</v>
      </c>
      <c r="H1236" s="8">
        <v>2.31</v>
      </c>
      <c r="I1236" s="4">
        <v>0</v>
      </c>
    </row>
    <row r="1237" spans="1:9" x14ac:dyDescent="0.2">
      <c r="A1237" s="1"/>
      <c r="C1237" s="4"/>
      <c r="D1237" s="8"/>
      <c r="E1237" s="4"/>
      <c r="F1237" s="8"/>
      <c r="G1237" s="4"/>
      <c r="H1237" s="8"/>
      <c r="I1237" s="4"/>
    </row>
    <row r="1238" spans="1:9" x14ac:dyDescent="0.2">
      <c r="A1238" s="1" t="s">
        <v>53</v>
      </c>
      <c r="C1238" s="4"/>
      <c r="D1238" s="8"/>
      <c r="E1238" s="4"/>
      <c r="F1238" s="8"/>
      <c r="G1238" s="4"/>
      <c r="H1238" s="8"/>
      <c r="I1238" s="4"/>
    </row>
    <row r="1239" spans="1:9" x14ac:dyDescent="0.2">
      <c r="A1239" s="2">
        <v>1</v>
      </c>
      <c r="B1239" s="1" t="s">
        <v>164</v>
      </c>
      <c r="C1239" s="4">
        <v>9</v>
      </c>
      <c r="D1239" s="8">
        <v>6.82</v>
      </c>
      <c r="E1239" s="4">
        <v>9</v>
      </c>
      <c r="F1239" s="8">
        <v>11.54</v>
      </c>
      <c r="G1239" s="4">
        <v>0</v>
      </c>
      <c r="H1239" s="8">
        <v>0</v>
      </c>
      <c r="I1239" s="4">
        <v>0</v>
      </c>
    </row>
    <row r="1240" spans="1:9" x14ac:dyDescent="0.2">
      <c r="A1240" s="2">
        <v>2</v>
      </c>
      <c r="B1240" s="1" t="s">
        <v>150</v>
      </c>
      <c r="C1240" s="4">
        <v>8</v>
      </c>
      <c r="D1240" s="8">
        <v>6.06</v>
      </c>
      <c r="E1240" s="4">
        <v>5</v>
      </c>
      <c r="F1240" s="8">
        <v>6.41</v>
      </c>
      <c r="G1240" s="4">
        <v>3</v>
      </c>
      <c r="H1240" s="8">
        <v>5.88</v>
      </c>
      <c r="I1240" s="4">
        <v>0</v>
      </c>
    </row>
    <row r="1241" spans="1:9" x14ac:dyDescent="0.2">
      <c r="A1241" s="2">
        <v>3</v>
      </c>
      <c r="B1241" s="1" t="s">
        <v>163</v>
      </c>
      <c r="C1241" s="4">
        <v>7</v>
      </c>
      <c r="D1241" s="8">
        <v>5.3</v>
      </c>
      <c r="E1241" s="4">
        <v>7</v>
      </c>
      <c r="F1241" s="8">
        <v>8.9700000000000006</v>
      </c>
      <c r="G1241" s="4">
        <v>0</v>
      </c>
      <c r="H1241" s="8">
        <v>0</v>
      </c>
      <c r="I1241" s="4">
        <v>0</v>
      </c>
    </row>
    <row r="1242" spans="1:9" x14ac:dyDescent="0.2">
      <c r="A1242" s="2">
        <v>4</v>
      </c>
      <c r="B1242" s="1" t="s">
        <v>153</v>
      </c>
      <c r="C1242" s="4">
        <v>6</v>
      </c>
      <c r="D1242" s="8">
        <v>4.55</v>
      </c>
      <c r="E1242" s="4">
        <v>4</v>
      </c>
      <c r="F1242" s="8">
        <v>5.13</v>
      </c>
      <c r="G1242" s="4">
        <v>2</v>
      </c>
      <c r="H1242" s="8">
        <v>3.92</v>
      </c>
      <c r="I1242" s="4">
        <v>0</v>
      </c>
    </row>
    <row r="1243" spans="1:9" x14ac:dyDescent="0.2">
      <c r="A1243" s="2">
        <v>5</v>
      </c>
      <c r="B1243" s="1" t="s">
        <v>148</v>
      </c>
      <c r="C1243" s="4">
        <v>5</v>
      </c>
      <c r="D1243" s="8">
        <v>3.79</v>
      </c>
      <c r="E1243" s="4">
        <v>0</v>
      </c>
      <c r="F1243" s="8">
        <v>0</v>
      </c>
      <c r="G1243" s="4">
        <v>5</v>
      </c>
      <c r="H1243" s="8">
        <v>9.8000000000000007</v>
      </c>
      <c r="I1243" s="4">
        <v>0</v>
      </c>
    </row>
    <row r="1244" spans="1:9" x14ac:dyDescent="0.2">
      <c r="A1244" s="2">
        <v>5</v>
      </c>
      <c r="B1244" s="1" t="s">
        <v>162</v>
      </c>
      <c r="C1244" s="4">
        <v>5</v>
      </c>
      <c r="D1244" s="8">
        <v>3.79</v>
      </c>
      <c r="E1244" s="4">
        <v>5</v>
      </c>
      <c r="F1244" s="8">
        <v>6.41</v>
      </c>
      <c r="G1244" s="4">
        <v>0</v>
      </c>
      <c r="H1244" s="8">
        <v>0</v>
      </c>
      <c r="I1244" s="4">
        <v>0</v>
      </c>
    </row>
    <row r="1245" spans="1:9" x14ac:dyDescent="0.2">
      <c r="A1245" s="2">
        <v>5</v>
      </c>
      <c r="B1245" s="1" t="s">
        <v>167</v>
      </c>
      <c r="C1245" s="4">
        <v>5</v>
      </c>
      <c r="D1245" s="8">
        <v>3.79</v>
      </c>
      <c r="E1245" s="4">
        <v>5</v>
      </c>
      <c r="F1245" s="8">
        <v>6.41</v>
      </c>
      <c r="G1245" s="4">
        <v>0</v>
      </c>
      <c r="H1245" s="8">
        <v>0</v>
      </c>
      <c r="I1245" s="4">
        <v>0</v>
      </c>
    </row>
    <row r="1246" spans="1:9" x14ac:dyDescent="0.2">
      <c r="A1246" s="2">
        <v>8</v>
      </c>
      <c r="B1246" s="1" t="s">
        <v>197</v>
      </c>
      <c r="C1246" s="4">
        <v>4</v>
      </c>
      <c r="D1246" s="8">
        <v>3.03</v>
      </c>
      <c r="E1246" s="4">
        <v>3</v>
      </c>
      <c r="F1246" s="8">
        <v>3.85</v>
      </c>
      <c r="G1246" s="4">
        <v>1</v>
      </c>
      <c r="H1246" s="8">
        <v>1.96</v>
      </c>
      <c r="I1246" s="4">
        <v>0</v>
      </c>
    </row>
    <row r="1247" spans="1:9" x14ac:dyDescent="0.2">
      <c r="A1247" s="2">
        <v>8</v>
      </c>
      <c r="B1247" s="1" t="s">
        <v>175</v>
      </c>
      <c r="C1247" s="4">
        <v>4</v>
      </c>
      <c r="D1247" s="8">
        <v>3.03</v>
      </c>
      <c r="E1247" s="4">
        <v>3</v>
      </c>
      <c r="F1247" s="8">
        <v>3.85</v>
      </c>
      <c r="G1247" s="4">
        <v>1</v>
      </c>
      <c r="H1247" s="8">
        <v>1.96</v>
      </c>
      <c r="I1247" s="4">
        <v>0</v>
      </c>
    </row>
    <row r="1248" spans="1:9" x14ac:dyDescent="0.2">
      <c r="A1248" s="2">
        <v>10</v>
      </c>
      <c r="B1248" s="1" t="s">
        <v>152</v>
      </c>
      <c r="C1248" s="4">
        <v>3</v>
      </c>
      <c r="D1248" s="8">
        <v>2.27</v>
      </c>
      <c r="E1248" s="4">
        <v>1</v>
      </c>
      <c r="F1248" s="8">
        <v>1.28</v>
      </c>
      <c r="G1248" s="4">
        <v>2</v>
      </c>
      <c r="H1248" s="8">
        <v>3.92</v>
      </c>
      <c r="I1248" s="4">
        <v>0</v>
      </c>
    </row>
    <row r="1249" spans="1:9" x14ac:dyDescent="0.2">
      <c r="A1249" s="2">
        <v>10</v>
      </c>
      <c r="B1249" s="1" t="s">
        <v>183</v>
      </c>
      <c r="C1249" s="4">
        <v>3</v>
      </c>
      <c r="D1249" s="8">
        <v>2.27</v>
      </c>
      <c r="E1249" s="4">
        <v>0</v>
      </c>
      <c r="F1249" s="8">
        <v>0</v>
      </c>
      <c r="G1249" s="4">
        <v>3</v>
      </c>
      <c r="H1249" s="8">
        <v>5.88</v>
      </c>
      <c r="I1249" s="4">
        <v>0</v>
      </c>
    </row>
    <row r="1250" spans="1:9" x14ac:dyDescent="0.2">
      <c r="A1250" s="2">
        <v>10</v>
      </c>
      <c r="B1250" s="1" t="s">
        <v>230</v>
      </c>
      <c r="C1250" s="4">
        <v>3</v>
      </c>
      <c r="D1250" s="8">
        <v>2.27</v>
      </c>
      <c r="E1250" s="4">
        <v>2</v>
      </c>
      <c r="F1250" s="8">
        <v>2.56</v>
      </c>
      <c r="G1250" s="4">
        <v>1</v>
      </c>
      <c r="H1250" s="8">
        <v>1.96</v>
      </c>
      <c r="I1250" s="4">
        <v>0</v>
      </c>
    </row>
    <row r="1251" spans="1:9" x14ac:dyDescent="0.2">
      <c r="A1251" s="2">
        <v>10</v>
      </c>
      <c r="B1251" s="1" t="s">
        <v>154</v>
      </c>
      <c r="C1251" s="4">
        <v>3</v>
      </c>
      <c r="D1251" s="8">
        <v>2.27</v>
      </c>
      <c r="E1251" s="4">
        <v>1</v>
      </c>
      <c r="F1251" s="8">
        <v>1.28</v>
      </c>
      <c r="G1251" s="4">
        <v>2</v>
      </c>
      <c r="H1251" s="8">
        <v>3.92</v>
      </c>
      <c r="I1251" s="4">
        <v>0</v>
      </c>
    </row>
    <row r="1252" spans="1:9" x14ac:dyDescent="0.2">
      <c r="A1252" s="2">
        <v>10</v>
      </c>
      <c r="B1252" s="1" t="s">
        <v>219</v>
      </c>
      <c r="C1252" s="4">
        <v>3</v>
      </c>
      <c r="D1252" s="8">
        <v>2.27</v>
      </c>
      <c r="E1252" s="4">
        <v>3</v>
      </c>
      <c r="F1252" s="8">
        <v>3.85</v>
      </c>
      <c r="G1252" s="4">
        <v>0</v>
      </c>
      <c r="H1252" s="8">
        <v>0</v>
      </c>
      <c r="I1252" s="4">
        <v>0</v>
      </c>
    </row>
    <row r="1253" spans="1:9" x14ac:dyDescent="0.2">
      <c r="A1253" s="2">
        <v>10</v>
      </c>
      <c r="B1253" s="1" t="s">
        <v>165</v>
      </c>
      <c r="C1253" s="4">
        <v>3</v>
      </c>
      <c r="D1253" s="8">
        <v>2.27</v>
      </c>
      <c r="E1253" s="4">
        <v>1</v>
      </c>
      <c r="F1253" s="8">
        <v>1.28</v>
      </c>
      <c r="G1253" s="4">
        <v>2</v>
      </c>
      <c r="H1253" s="8">
        <v>3.92</v>
      </c>
      <c r="I1253" s="4">
        <v>0</v>
      </c>
    </row>
    <row r="1254" spans="1:9" x14ac:dyDescent="0.2">
      <c r="A1254" s="2">
        <v>16</v>
      </c>
      <c r="B1254" s="1" t="s">
        <v>149</v>
      </c>
      <c r="C1254" s="4">
        <v>2</v>
      </c>
      <c r="D1254" s="8">
        <v>1.52</v>
      </c>
      <c r="E1254" s="4">
        <v>0</v>
      </c>
      <c r="F1254" s="8">
        <v>0</v>
      </c>
      <c r="G1254" s="4">
        <v>2</v>
      </c>
      <c r="H1254" s="8">
        <v>3.92</v>
      </c>
      <c r="I1254" s="4">
        <v>0</v>
      </c>
    </row>
    <row r="1255" spans="1:9" x14ac:dyDescent="0.2">
      <c r="A1255" s="2">
        <v>16</v>
      </c>
      <c r="B1255" s="1" t="s">
        <v>174</v>
      </c>
      <c r="C1255" s="4">
        <v>2</v>
      </c>
      <c r="D1255" s="8">
        <v>1.52</v>
      </c>
      <c r="E1255" s="4">
        <v>0</v>
      </c>
      <c r="F1255" s="8">
        <v>0</v>
      </c>
      <c r="G1255" s="4">
        <v>2</v>
      </c>
      <c r="H1255" s="8">
        <v>3.92</v>
      </c>
      <c r="I1255" s="4">
        <v>0</v>
      </c>
    </row>
    <row r="1256" spans="1:9" x14ac:dyDescent="0.2">
      <c r="A1256" s="2">
        <v>16</v>
      </c>
      <c r="B1256" s="1" t="s">
        <v>228</v>
      </c>
      <c r="C1256" s="4">
        <v>2</v>
      </c>
      <c r="D1256" s="8">
        <v>1.52</v>
      </c>
      <c r="E1256" s="4">
        <v>0</v>
      </c>
      <c r="F1256" s="8">
        <v>0</v>
      </c>
      <c r="G1256" s="4">
        <v>2</v>
      </c>
      <c r="H1256" s="8">
        <v>3.92</v>
      </c>
      <c r="I1256" s="4">
        <v>0</v>
      </c>
    </row>
    <row r="1257" spans="1:9" x14ac:dyDescent="0.2">
      <c r="A1257" s="2">
        <v>16</v>
      </c>
      <c r="B1257" s="1" t="s">
        <v>229</v>
      </c>
      <c r="C1257" s="4">
        <v>2</v>
      </c>
      <c r="D1257" s="8">
        <v>1.52</v>
      </c>
      <c r="E1257" s="4">
        <v>1</v>
      </c>
      <c r="F1257" s="8">
        <v>1.28</v>
      </c>
      <c r="G1257" s="4">
        <v>1</v>
      </c>
      <c r="H1257" s="8">
        <v>1.96</v>
      </c>
      <c r="I1257" s="4">
        <v>0</v>
      </c>
    </row>
    <row r="1258" spans="1:9" x14ac:dyDescent="0.2">
      <c r="A1258" s="2">
        <v>16</v>
      </c>
      <c r="B1258" s="1" t="s">
        <v>189</v>
      </c>
      <c r="C1258" s="4">
        <v>2</v>
      </c>
      <c r="D1258" s="8">
        <v>1.52</v>
      </c>
      <c r="E1258" s="4">
        <v>2</v>
      </c>
      <c r="F1258" s="8">
        <v>2.56</v>
      </c>
      <c r="G1258" s="4">
        <v>0</v>
      </c>
      <c r="H1258" s="8">
        <v>0</v>
      </c>
      <c r="I1258" s="4">
        <v>0</v>
      </c>
    </row>
    <row r="1259" spans="1:9" x14ac:dyDescent="0.2">
      <c r="A1259" s="2">
        <v>16</v>
      </c>
      <c r="B1259" s="1" t="s">
        <v>190</v>
      </c>
      <c r="C1259" s="4">
        <v>2</v>
      </c>
      <c r="D1259" s="8">
        <v>1.52</v>
      </c>
      <c r="E1259" s="4">
        <v>2</v>
      </c>
      <c r="F1259" s="8">
        <v>2.56</v>
      </c>
      <c r="G1259" s="4">
        <v>0</v>
      </c>
      <c r="H1259" s="8">
        <v>0</v>
      </c>
      <c r="I1259" s="4">
        <v>0</v>
      </c>
    </row>
    <row r="1260" spans="1:9" x14ac:dyDescent="0.2">
      <c r="A1260" s="2">
        <v>16</v>
      </c>
      <c r="B1260" s="1" t="s">
        <v>156</v>
      </c>
      <c r="C1260" s="4">
        <v>2</v>
      </c>
      <c r="D1260" s="8">
        <v>1.52</v>
      </c>
      <c r="E1260" s="4">
        <v>2</v>
      </c>
      <c r="F1260" s="8">
        <v>2.56</v>
      </c>
      <c r="G1260" s="4">
        <v>0</v>
      </c>
      <c r="H1260" s="8">
        <v>0</v>
      </c>
      <c r="I1260" s="4">
        <v>0</v>
      </c>
    </row>
    <row r="1261" spans="1:9" x14ac:dyDescent="0.2">
      <c r="A1261" s="2">
        <v>16</v>
      </c>
      <c r="B1261" s="1" t="s">
        <v>160</v>
      </c>
      <c r="C1261" s="4">
        <v>2</v>
      </c>
      <c r="D1261" s="8">
        <v>1.52</v>
      </c>
      <c r="E1261" s="4">
        <v>0</v>
      </c>
      <c r="F1261" s="8">
        <v>0</v>
      </c>
      <c r="G1261" s="4">
        <v>2</v>
      </c>
      <c r="H1261" s="8">
        <v>3.92</v>
      </c>
      <c r="I1261" s="4">
        <v>0</v>
      </c>
    </row>
    <row r="1262" spans="1:9" x14ac:dyDescent="0.2">
      <c r="A1262" s="1"/>
      <c r="C1262" s="4"/>
      <c r="D1262" s="8"/>
      <c r="E1262" s="4"/>
      <c r="F1262" s="8"/>
      <c r="G1262" s="4"/>
      <c r="H1262" s="8"/>
      <c r="I1262" s="4"/>
    </row>
    <row r="1263" spans="1:9" x14ac:dyDescent="0.2">
      <c r="A1263" s="1" t="s">
        <v>54</v>
      </c>
      <c r="C1263" s="4"/>
      <c r="D1263" s="8"/>
      <c r="E1263" s="4"/>
      <c r="F1263" s="8"/>
      <c r="G1263" s="4"/>
      <c r="H1263" s="8"/>
      <c r="I1263" s="4"/>
    </row>
    <row r="1264" spans="1:9" x14ac:dyDescent="0.2">
      <c r="A1264" s="2">
        <v>1</v>
      </c>
      <c r="B1264" s="1" t="s">
        <v>167</v>
      </c>
      <c r="C1264" s="4">
        <v>17</v>
      </c>
      <c r="D1264" s="8">
        <v>7.26</v>
      </c>
      <c r="E1264" s="4">
        <v>15</v>
      </c>
      <c r="F1264" s="8">
        <v>11.45</v>
      </c>
      <c r="G1264" s="4">
        <v>2</v>
      </c>
      <c r="H1264" s="8">
        <v>1.96</v>
      </c>
      <c r="I1264" s="4">
        <v>0</v>
      </c>
    </row>
    <row r="1265" spans="1:9" x14ac:dyDescent="0.2">
      <c r="A1265" s="2">
        <v>2</v>
      </c>
      <c r="B1265" s="1" t="s">
        <v>148</v>
      </c>
      <c r="C1265" s="4">
        <v>15</v>
      </c>
      <c r="D1265" s="8">
        <v>6.41</v>
      </c>
      <c r="E1265" s="4">
        <v>2</v>
      </c>
      <c r="F1265" s="8">
        <v>1.53</v>
      </c>
      <c r="G1265" s="4">
        <v>13</v>
      </c>
      <c r="H1265" s="8">
        <v>12.75</v>
      </c>
      <c r="I1265" s="4">
        <v>0</v>
      </c>
    </row>
    <row r="1266" spans="1:9" x14ac:dyDescent="0.2">
      <c r="A1266" s="2">
        <v>3</v>
      </c>
      <c r="B1266" s="1" t="s">
        <v>164</v>
      </c>
      <c r="C1266" s="4">
        <v>14</v>
      </c>
      <c r="D1266" s="8">
        <v>5.98</v>
      </c>
      <c r="E1266" s="4">
        <v>13</v>
      </c>
      <c r="F1266" s="8">
        <v>9.92</v>
      </c>
      <c r="G1266" s="4">
        <v>1</v>
      </c>
      <c r="H1266" s="8">
        <v>0.98</v>
      </c>
      <c r="I1266" s="4">
        <v>0</v>
      </c>
    </row>
    <row r="1267" spans="1:9" x14ac:dyDescent="0.2">
      <c r="A1267" s="2">
        <v>4</v>
      </c>
      <c r="B1267" s="1" t="s">
        <v>162</v>
      </c>
      <c r="C1267" s="4">
        <v>11</v>
      </c>
      <c r="D1267" s="8">
        <v>4.7</v>
      </c>
      <c r="E1267" s="4">
        <v>11</v>
      </c>
      <c r="F1267" s="8">
        <v>8.4</v>
      </c>
      <c r="G1267" s="4">
        <v>0</v>
      </c>
      <c r="H1267" s="8">
        <v>0</v>
      </c>
      <c r="I1267" s="4">
        <v>0</v>
      </c>
    </row>
    <row r="1268" spans="1:9" x14ac:dyDescent="0.2">
      <c r="A1268" s="2">
        <v>5</v>
      </c>
      <c r="B1268" s="1" t="s">
        <v>152</v>
      </c>
      <c r="C1268" s="4">
        <v>9</v>
      </c>
      <c r="D1268" s="8">
        <v>3.85</v>
      </c>
      <c r="E1268" s="4">
        <v>3</v>
      </c>
      <c r="F1268" s="8">
        <v>2.29</v>
      </c>
      <c r="G1268" s="4">
        <v>6</v>
      </c>
      <c r="H1268" s="8">
        <v>5.88</v>
      </c>
      <c r="I1268" s="4">
        <v>0</v>
      </c>
    </row>
    <row r="1269" spans="1:9" x14ac:dyDescent="0.2">
      <c r="A1269" s="2">
        <v>6</v>
      </c>
      <c r="B1269" s="1" t="s">
        <v>161</v>
      </c>
      <c r="C1269" s="4">
        <v>8</v>
      </c>
      <c r="D1269" s="8">
        <v>3.42</v>
      </c>
      <c r="E1269" s="4">
        <v>8</v>
      </c>
      <c r="F1269" s="8">
        <v>6.11</v>
      </c>
      <c r="G1269" s="4">
        <v>0</v>
      </c>
      <c r="H1269" s="8">
        <v>0</v>
      </c>
      <c r="I1269" s="4">
        <v>0</v>
      </c>
    </row>
    <row r="1270" spans="1:9" x14ac:dyDescent="0.2">
      <c r="A1270" s="2">
        <v>6</v>
      </c>
      <c r="B1270" s="1" t="s">
        <v>163</v>
      </c>
      <c r="C1270" s="4">
        <v>8</v>
      </c>
      <c r="D1270" s="8">
        <v>3.42</v>
      </c>
      <c r="E1270" s="4">
        <v>8</v>
      </c>
      <c r="F1270" s="8">
        <v>6.11</v>
      </c>
      <c r="G1270" s="4">
        <v>0</v>
      </c>
      <c r="H1270" s="8">
        <v>0</v>
      </c>
      <c r="I1270" s="4">
        <v>0</v>
      </c>
    </row>
    <row r="1271" spans="1:9" x14ac:dyDescent="0.2">
      <c r="A1271" s="2">
        <v>8</v>
      </c>
      <c r="B1271" s="1" t="s">
        <v>150</v>
      </c>
      <c r="C1271" s="4">
        <v>7</v>
      </c>
      <c r="D1271" s="8">
        <v>2.99</v>
      </c>
      <c r="E1271" s="4">
        <v>4</v>
      </c>
      <c r="F1271" s="8">
        <v>3.05</v>
      </c>
      <c r="G1271" s="4">
        <v>3</v>
      </c>
      <c r="H1271" s="8">
        <v>2.94</v>
      </c>
      <c r="I1271" s="4">
        <v>0</v>
      </c>
    </row>
    <row r="1272" spans="1:9" x14ac:dyDescent="0.2">
      <c r="A1272" s="2">
        <v>9</v>
      </c>
      <c r="B1272" s="1" t="s">
        <v>151</v>
      </c>
      <c r="C1272" s="4">
        <v>6</v>
      </c>
      <c r="D1272" s="8">
        <v>2.56</v>
      </c>
      <c r="E1272" s="4">
        <v>2</v>
      </c>
      <c r="F1272" s="8">
        <v>1.53</v>
      </c>
      <c r="G1272" s="4">
        <v>4</v>
      </c>
      <c r="H1272" s="8">
        <v>3.92</v>
      </c>
      <c r="I1272" s="4">
        <v>0</v>
      </c>
    </row>
    <row r="1273" spans="1:9" x14ac:dyDescent="0.2">
      <c r="A1273" s="2">
        <v>9</v>
      </c>
      <c r="B1273" s="1" t="s">
        <v>171</v>
      </c>
      <c r="C1273" s="4">
        <v>6</v>
      </c>
      <c r="D1273" s="8">
        <v>2.56</v>
      </c>
      <c r="E1273" s="4">
        <v>0</v>
      </c>
      <c r="F1273" s="8">
        <v>0</v>
      </c>
      <c r="G1273" s="4">
        <v>6</v>
      </c>
      <c r="H1273" s="8">
        <v>5.88</v>
      </c>
      <c r="I1273" s="4">
        <v>0</v>
      </c>
    </row>
    <row r="1274" spans="1:9" x14ac:dyDescent="0.2">
      <c r="A1274" s="2">
        <v>9</v>
      </c>
      <c r="B1274" s="1" t="s">
        <v>194</v>
      </c>
      <c r="C1274" s="4">
        <v>6</v>
      </c>
      <c r="D1274" s="8">
        <v>2.56</v>
      </c>
      <c r="E1274" s="4">
        <v>3</v>
      </c>
      <c r="F1274" s="8">
        <v>2.29</v>
      </c>
      <c r="G1274" s="4">
        <v>3</v>
      </c>
      <c r="H1274" s="8">
        <v>2.94</v>
      </c>
      <c r="I1274" s="4">
        <v>0</v>
      </c>
    </row>
    <row r="1275" spans="1:9" x14ac:dyDescent="0.2">
      <c r="A1275" s="2">
        <v>9</v>
      </c>
      <c r="B1275" s="1" t="s">
        <v>180</v>
      </c>
      <c r="C1275" s="4">
        <v>6</v>
      </c>
      <c r="D1275" s="8">
        <v>2.56</v>
      </c>
      <c r="E1275" s="4">
        <v>4</v>
      </c>
      <c r="F1275" s="8">
        <v>3.05</v>
      </c>
      <c r="G1275" s="4">
        <v>2</v>
      </c>
      <c r="H1275" s="8">
        <v>1.96</v>
      </c>
      <c r="I1275" s="4">
        <v>0</v>
      </c>
    </row>
    <row r="1276" spans="1:9" x14ac:dyDescent="0.2">
      <c r="A1276" s="2">
        <v>13</v>
      </c>
      <c r="B1276" s="1" t="s">
        <v>196</v>
      </c>
      <c r="C1276" s="4">
        <v>5</v>
      </c>
      <c r="D1276" s="8">
        <v>2.14</v>
      </c>
      <c r="E1276" s="4">
        <v>3</v>
      </c>
      <c r="F1276" s="8">
        <v>2.29</v>
      </c>
      <c r="G1276" s="4">
        <v>2</v>
      </c>
      <c r="H1276" s="8">
        <v>1.96</v>
      </c>
      <c r="I1276" s="4">
        <v>0</v>
      </c>
    </row>
    <row r="1277" spans="1:9" x14ac:dyDescent="0.2">
      <c r="A1277" s="2">
        <v>13</v>
      </c>
      <c r="B1277" s="1" t="s">
        <v>153</v>
      </c>
      <c r="C1277" s="4">
        <v>5</v>
      </c>
      <c r="D1277" s="8">
        <v>2.14</v>
      </c>
      <c r="E1277" s="4">
        <v>0</v>
      </c>
      <c r="F1277" s="8">
        <v>0</v>
      </c>
      <c r="G1277" s="4">
        <v>5</v>
      </c>
      <c r="H1277" s="8">
        <v>4.9000000000000004</v>
      </c>
      <c r="I1277" s="4">
        <v>0</v>
      </c>
    </row>
    <row r="1278" spans="1:9" x14ac:dyDescent="0.2">
      <c r="A1278" s="2">
        <v>13</v>
      </c>
      <c r="B1278" s="1" t="s">
        <v>166</v>
      </c>
      <c r="C1278" s="4">
        <v>5</v>
      </c>
      <c r="D1278" s="8">
        <v>2.14</v>
      </c>
      <c r="E1278" s="4">
        <v>4</v>
      </c>
      <c r="F1278" s="8">
        <v>3.05</v>
      </c>
      <c r="G1278" s="4">
        <v>1</v>
      </c>
      <c r="H1278" s="8">
        <v>0.98</v>
      </c>
      <c r="I1278" s="4">
        <v>0</v>
      </c>
    </row>
    <row r="1279" spans="1:9" x14ac:dyDescent="0.2">
      <c r="A1279" s="2">
        <v>16</v>
      </c>
      <c r="B1279" s="1" t="s">
        <v>197</v>
      </c>
      <c r="C1279" s="4">
        <v>4</v>
      </c>
      <c r="D1279" s="8">
        <v>1.71</v>
      </c>
      <c r="E1279" s="4">
        <v>3</v>
      </c>
      <c r="F1279" s="8">
        <v>2.29</v>
      </c>
      <c r="G1279" s="4">
        <v>1</v>
      </c>
      <c r="H1279" s="8">
        <v>0.98</v>
      </c>
      <c r="I1279" s="4">
        <v>0</v>
      </c>
    </row>
    <row r="1280" spans="1:9" x14ac:dyDescent="0.2">
      <c r="A1280" s="2">
        <v>16</v>
      </c>
      <c r="B1280" s="1" t="s">
        <v>155</v>
      </c>
      <c r="C1280" s="4">
        <v>4</v>
      </c>
      <c r="D1280" s="8">
        <v>1.71</v>
      </c>
      <c r="E1280" s="4">
        <v>2</v>
      </c>
      <c r="F1280" s="8">
        <v>1.53</v>
      </c>
      <c r="G1280" s="4">
        <v>2</v>
      </c>
      <c r="H1280" s="8">
        <v>1.96</v>
      </c>
      <c r="I1280" s="4">
        <v>0</v>
      </c>
    </row>
    <row r="1281" spans="1:9" x14ac:dyDescent="0.2">
      <c r="A1281" s="2">
        <v>16</v>
      </c>
      <c r="B1281" s="1" t="s">
        <v>204</v>
      </c>
      <c r="C1281" s="4">
        <v>4</v>
      </c>
      <c r="D1281" s="8">
        <v>1.71</v>
      </c>
      <c r="E1281" s="4">
        <v>3</v>
      </c>
      <c r="F1281" s="8">
        <v>2.29</v>
      </c>
      <c r="G1281" s="4">
        <v>1</v>
      </c>
      <c r="H1281" s="8">
        <v>0.98</v>
      </c>
      <c r="I1281" s="4">
        <v>0</v>
      </c>
    </row>
    <row r="1282" spans="1:9" x14ac:dyDescent="0.2">
      <c r="A1282" s="2">
        <v>19</v>
      </c>
      <c r="B1282" s="1" t="s">
        <v>209</v>
      </c>
      <c r="C1282" s="4">
        <v>3</v>
      </c>
      <c r="D1282" s="8">
        <v>1.28</v>
      </c>
      <c r="E1282" s="4">
        <v>2</v>
      </c>
      <c r="F1282" s="8">
        <v>1.53</v>
      </c>
      <c r="G1282" s="4">
        <v>1</v>
      </c>
      <c r="H1282" s="8">
        <v>0.98</v>
      </c>
      <c r="I1282" s="4">
        <v>0</v>
      </c>
    </row>
    <row r="1283" spans="1:9" x14ac:dyDescent="0.2">
      <c r="A1283" s="2">
        <v>19</v>
      </c>
      <c r="B1283" s="1" t="s">
        <v>176</v>
      </c>
      <c r="C1283" s="4">
        <v>3</v>
      </c>
      <c r="D1283" s="8">
        <v>1.28</v>
      </c>
      <c r="E1283" s="4">
        <v>2</v>
      </c>
      <c r="F1283" s="8">
        <v>1.53</v>
      </c>
      <c r="G1283" s="4">
        <v>1</v>
      </c>
      <c r="H1283" s="8">
        <v>0.98</v>
      </c>
      <c r="I1283" s="4">
        <v>0</v>
      </c>
    </row>
    <row r="1284" spans="1:9" x14ac:dyDescent="0.2">
      <c r="A1284" s="2">
        <v>19</v>
      </c>
      <c r="B1284" s="1" t="s">
        <v>231</v>
      </c>
      <c r="C1284" s="4">
        <v>3</v>
      </c>
      <c r="D1284" s="8">
        <v>1.28</v>
      </c>
      <c r="E1284" s="4">
        <v>0</v>
      </c>
      <c r="F1284" s="8">
        <v>0</v>
      </c>
      <c r="G1284" s="4">
        <v>3</v>
      </c>
      <c r="H1284" s="8">
        <v>2.94</v>
      </c>
      <c r="I1284" s="4">
        <v>0</v>
      </c>
    </row>
    <row r="1285" spans="1:9" x14ac:dyDescent="0.2">
      <c r="A1285" s="2">
        <v>19</v>
      </c>
      <c r="B1285" s="1" t="s">
        <v>177</v>
      </c>
      <c r="C1285" s="4">
        <v>3</v>
      </c>
      <c r="D1285" s="8">
        <v>1.28</v>
      </c>
      <c r="E1285" s="4">
        <v>3</v>
      </c>
      <c r="F1285" s="8">
        <v>2.29</v>
      </c>
      <c r="G1285" s="4">
        <v>0</v>
      </c>
      <c r="H1285" s="8">
        <v>0</v>
      </c>
      <c r="I1285" s="4">
        <v>0</v>
      </c>
    </row>
    <row r="1286" spans="1:9" x14ac:dyDescent="0.2">
      <c r="A1286" s="2">
        <v>19</v>
      </c>
      <c r="B1286" s="1" t="s">
        <v>232</v>
      </c>
      <c r="C1286" s="4">
        <v>3</v>
      </c>
      <c r="D1286" s="8">
        <v>1.28</v>
      </c>
      <c r="E1286" s="4">
        <v>2</v>
      </c>
      <c r="F1286" s="8">
        <v>1.53</v>
      </c>
      <c r="G1286" s="4">
        <v>0</v>
      </c>
      <c r="H1286" s="8">
        <v>0</v>
      </c>
      <c r="I1286" s="4">
        <v>1</v>
      </c>
    </row>
    <row r="1287" spans="1:9" x14ac:dyDescent="0.2">
      <c r="A1287" s="2">
        <v>19</v>
      </c>
      <c r="B1287" s="1" t="s">
        <v>154</v>
      </c>
      <c r="C1287" s="4">
        <v>3</v>
      </c>
      <c r="D1287" s="8">
        <v>1.28</v>
      </c>
      <c r="E1287" s="4">
        <v>2</v>
      </c>
      <c r="F1287" s="8">
        <v>1.53</v>
      </c>
      <c r="G1287" s="4">
        <v>1</v>
      </c>
      <c r="H1287" s="8">
        <v>0.98</v>
      </c>
      <c r="I1287" s="4">
        <v>0</v>
      </c>
    </row>
    <row r="1288" spans="1:9" x14ac:dyDescent="0.2">
      <c r="A1288" s="2">
        <v>19</v>
      </c>
      <c r="B1288" s="1" t="s">
        <v>165</v>
      </c>
      <c r="C1288" s="4">
        <v>3</v>
      </c>
      <c r="D1288" s="8">
        <v>1.28</v>
      </c>
      <c r="E1288" s="4">
        <v>3</v>
      </c>
      <c r="F1288" s="8">
        <v>2.29</v>
      </c>
      <c r="G1288" s="4">
        <v>0</v>
      </c>
      <c r="H1288" s="8">
        <v>0</v>
      </c>
      <c r="I1288" s="4">
        <v>0</v>
      </c>
    </row>
    <row r="1289" spans="1:9" x14ac:dyDescent="0.2">
      <c r="A1289" s="2">
        <v>19</v>
      </c>
      <c r="B1289" s="1" t="s">
        <v>170</v>
      </c>
      <c r="C1289" s="4">
        <v>3</v>
      </c>
      <c r="D1289" s="8">
        <v>1.28</v>
      </c>
      <c r="E1289" s="4">
        <v>2</v>
      </c>
      <c r="F1289" s="8">
        <v>1.53</v>
      </c>
      <c r="G1289" s="4">
        <v>1</v>
      </c>
      <c r="H1289" s="8">
        <v>0.98</v>
      </c>
      <c r="I1289" s="4">
        <v>0</v>
      </c>
    </row>
    <row r="1290" spans="1:9" x14ac:dyDescent="0.2">
      <c r="A1290" s="1"/>
      <c r="C1290" s="4"/>
      <c r="D1290" s="8"/>
      <c r="E1290" s="4"/>
      <c r="F1290" s="8"/>
      <c r="G1290" s="4"/>
      <c r="H1290" s="8"/>
      <c r="I1290" s="4"/>
    </row>
    <row r="1291" spans="1:9" x14ac:dyDescent="0.2">
      <c r="A1291" s="1" t="s">
        <v>55</v>
      </c>
      <c r="C1291" s="4"/>
      <c r="D1291" s="8"/>
      <c r="E1291" s="4"/>
      <c r="F1291" s="8"/>
      <c r="G1291" s="4"/>
      <c r="H1291" s="8"/>
      <c r="I1291" s="4"/>
    </row>
    <row r="1292" spans="1:9" x14ac:dyDescent="0.2">
      <c r="A1292" s="2">
        <v>1</v>
      </c>
      <c r="B1292" s="1" t="s">
        <v>164</v>
      </c>
      <c r="C1292" s="4">
        <v>12</v>
      </c>
      <c r="D1292" s="8">
        <v>5.41</v>
      </c>
      <c r="E1292" s="4">
        <v>12</v>
      </c>
      <c r="F1292" s="8">
        <v>9.84</v>
      </c>
      <c r="G1292" s="4">
        <v>0</v>
      </c>
      <c r="H1292" s="8">
        <v>0</v>
      </c>
      <c r="I1292" s="4">
        <v>0</v>
      </c>
    </row>
    <row r="1293" spans="1:9" x14ac:dyDescent="0.2">
      <c r="A1293" s="2">
        <v>2</v>
      </c>
      <c r="B1293" s="1" t="s">
        <v>163</v>
      </c>
      <c r="C1293" s="4">
        <v>11</v>
      </c>
      <c r="D1293" s="8">
        <v>4.95</v>
      </c>
      <c r="E1293" s="4">
        <v>11</v>
      </c>
      <c r="F1293" s="8">
        <v>9.02</v>
      </c>
      <c r="G1293" s="4">
        <v>0</v>
      </c>
      <c r="H1293" s="8">
        <v>0</v>
      </c>
      <c r="I1293" s="4">
        <v>0</v>
      </c>
    </row>
    <row r="1294" spans="1:9" x14ac:dyDescent="0.2">
      <c r="A1294" s="2">
        <v>3</v>
      </c>
      <c r="B1294" s="1" t="s">
        <v>161</v>
      </c>
      <c r="C1294" s="4">
        <v>10</v>
      </c>
      <c r="D1294" s="8">
        <v>4.5</v>
      </c>
      <c r="E1294" s="4">
        <v>6</v>
      </c>
      <c r="F1294" s="8">
        <v>4.92</v>
      </c>
      <c r="G1294" s="4">
        <v>4</v>
      </c>
      <c r="H1294" s="8">
        <v>4.04</v>
      </c>
      <c r="I1294" s="4">
        <v>0</v>
      </c>
    </row>
    <row r="1295" spans="1:9" x14ac:dyDescent="0.2">
      <c r="A1295" s="2">
        <v>4</v>
      </c>
      <c r="B1295" s="1" t="s">
        <v>194</v>
      </c>
      <c r="C1295" s="4">
        <v>8</v>
      </c>
      <c r="D1295" s="8">
        <v>3.6</v>
      </c>
      <c r="E1295" s="4">
        <v>6</v>
      </c>
      <c r="F1295" s="8">
        <v>4.92</v>
      </c>
      <c r="G1295" s="4">
        <v>2</v>
      </c>
      <c r="H1295" s="8">
        <v>2.02</v>
      </c>
      <c r="I1295" s="4">
        <v>0</v>
      </c>
    </row>
    <row r="1296" spans="1:9" x14ac:dyDescent="0.2">
      <c r="A1296" s="2">
        <v>5</v>
      </c>
      <c r="B1296" s="1" t="s">
        <v>155</v>
      </c>
      <c r="C1296" s="4">
        <v>7</v>
      </c>
      <c r="D1296" s="8">
        <v>3.15</v>
      </c>
      <c r="E1296" s="4">
        <v>4</v>
      </c>
      <c r="F1296" s="8">
        <v>3.28</v>
      </c>
      <c r="G1296" s="4">
        <v>3</v>
      </c>
      <c r="H1296" s="8">
        <v>3.03</v>
      </c>
      <c r="I1296" s="4">
        <v>0</v>
      </c>
    </row>
    <row r="1297" spans="1:9" x14ac:dyDescent="0.2">
      <c r="A1297" s="2">
        <v>6</v>
      </c>
      <c r="B1297" s="1" t="s">
        <v>148</v>
      </c>
      <c r="C1297" s="4">
        <v>6</v>
      </c>
      <c r="D1297" s="8">
        <v>2.7</v>
      </c>
      <c r="E1297" s="4">
        <v>0</v>
      </c>
      <c r="F1297" s="8">
        <v>0</v>
      </c>
      <c r="G1297" s="4">
        <v>6</v>
      </c>
      <c r="H1297" s="8">
        <v>6.06</v>
      </c>
      <c r="I1297" s="4">
        <v>0</v>
      </c>
    </row>
    <row r="1298" spans="1:9" x14ac:dyDescent="0.2">
      <c r="A1298" s="2">
        <v>6</v>
      </c>
      <c r="B1298" s="1" t="s">
        <v>169</v>
      </c>
      <c r="C1298" s="4">
        <v>6</v>
      </c>
      <c r="D1298" s="8">
        <v>2.7</v>
      </c>
      <c r="E1298" s="4">
        <v>4</v>
      </c>
      <c r="F1298" s="8">
        <v>3.28</v>
      </c>
      <c r="G1298" s="4">
        <v>2</v>
      </c>
      <c r="H1298" s="8">
        <v>2.02</v>
      </c>
      <c r="I1298" s="4">
        <v>0</v>
      </c>
    </row>
    <row r="1299" spans="1:9" x14ac:dyDescent="0.2">
      <c r="A1299" s="2">
        <v>8</v>
      </c>
      <c r="B1299" s="1" t="s">
        <v>150</v>
      </c>
      <c r="C1299" s="4">
        <v>5</v>
      </c>
      <c r="D1299" s="8">
        <v>2.25</v>
      </c>
      <c r="E1299" s="4">
        <v>3</v>
      </c>
      <c r="F1299" s="8">
        <v>2.46</v>
      </c>
      <c r="G1299" s="4">
        <v>2</v>
      </c>
      <c r="H1299" s="8">
        <v>2.02</v>
      </c>
      <c r="I1299" s="4">
        <v>0</v>
      </c>
    </row>
    <row r="1300" spans="1:9" x14ac:dyDescent="0.2">
      <c r="A1300" s="2">
        <v>8</v>
      </c>
      <c r="B1300" s="1" t="s">
        <v>196</v>
      </c>
      <c r="C1300" s="4">
        <v>5</v>
      </c>
      <c r="D1300" s="8">
        <v>2.25</v>
      </c>
      <c r="E1300" s="4">
        <v>2</v>
      </c>
      <c r="F1300" s="8">
        <v>1.64</v>
      </c>
      <c r="G1300" s="4">
        <v>3</v>
      </c>
      <c r="H1300" s="8">
        <v>3.03</v>
      </c>
      <c r="I1300" s="4">
        <v>0</v>
      </c>
    </row>
    <row r="1301" spans="1:9" x14ac:dyDescent="0.2">
      <c r="A1301" s="2">
        <v>8</v>
      </c>
      <c r="B1301" s="1" t="s">
        <v>152</v>
      </c>
      <c r="C1301" s="4">
        <v>5</v>
      </c>
      <c r="D1301" s="8">
        <v>2.25</v>
      </c>
      <c r="E1301" s="4">
        <v>3</v>
      </c>
      <c r="F1301" s="8">
        <v>2.46</v>
      </c>
      <c r="G1301" s="4">
        <v>2</v>
      </c>
      <c r="H1301" s="8">
        <v>2.02</v>
      </c>
      <c r="I1301" s="4">
        <v>0</v>
      </c>
    </row>
    <row r="1302" spans="1:9" x14ac:dyDescent="0.2">
      <c r="A1302" s="2">
        <v>8</v>
      </c>
      <c r="B1302" s="1" t="s">
        <v>153</v>
      </c>
      <c r="C1302" s="4">
        <v>5</v>
      </c>
      <c r="D1302" s="8">
        <v>2.25</v>
      </c>
      <c r="E1302" s="4">
        <v>2</v>
      </c>
      <c r="F1302" s="8">
        <v>1.64</v>
      </c>
      <c r="G1302" s="4">
        <v>3</v>
      </c>
      <c r="H1302" s="8">
        <v>3.03</v>
      </c>
      <c r="I1302" s="4">
        <v>0</v>
      </c>
    </row>
    <row r="1303" spans="1:9" x14ac:dyDescent="0.2">
      <c r="A1303" s="2">
        <v>8</v>
      </c>
      <c r="B1303" s="1" t="s">
        <v>154</v>
      </c>
      <c r="C1303" s="4">
        <v>5</v>
      </c>
      <c r="D1303" s="8">
        <v>2.25</v>
      </c>
      <c r="E1303" s="4">
        <v>4</v>
      </c>
      <c r="F1303" s="8">
        <v>3.28</v>
      </c>
      <c r="G1303" s="4">
        <v>1</v>
      </c>
      <c r="H1303" s="8">
        <v>1.01</v>
      </c>
      <c r="I1303" s="4">
        <v>0</v>
      </c>
    </row>
    <row r="1304" spans="1:9" x14ac:dyDescent="0.2">
      <c r="A1304" s="2">
        <v>8</v>
      </c>
      <c r="B1304" s="1" t="s">
        <v>162</v>
      </c>
      <c r="C1304" s="4">
        <v>5</v>
      </c>
      <c r="D1304" s="8">
        <v>2.25</v>
      </c>
      <c r="E1304" s="4">
        <v>5</v>
      </c>
      <c r="F1304" s="8">
        <v>4.0999999999999996</v>
      </c>
      <c r="G1304" s="4">
        <v>0</v>
      </c>
      <c r="H1304" s="8">
        <v>0</v>
      </c>
      <c r="I1304" s="4">
        <v>0</v>
      </c>
    </row>
    <row r="1305" spans="1:9" x14ac:dyDescent="0.2">
      <c r="A1305" s="2">
        <v>14</v>
      </c>
      <c r="B1305" s="1" t="s">
        <v>149</v>
      </c>
      <c r="C1305" s="4">
        <v>4</v>
      </c>
      <c r="D1305" s="8">
        <v>1.8</v>
      </c>
      <c r="E1305" s="4">
        <v>0</v>
      </c>
      <c r="F1305" s="8">
        <v>0</v>
      </c>
      <c r="G1305" s="4">
        <v>4</v>
      </c>
      <c r="H1305" s="8">
        <v>4.04</v>
      </c>
      <c r="I1305" s="4">
        <v>0</v>
      </c>
    </row>
    <row r="1306" spans="1:9" x14ac:dyDescent="0.2">
      <c r="A1306" s="2">
        <v>14</v>
      </c>
      <c r="B1306" s="1" t="s">
        <v>156</v>
      </c>
      <c r="C1306" s="4">
        <v>4</v>
      </c>
      <c r="D1306" s="8">
        <v>1.8</v>
      </c>
      <c r="E1306" s="4">
        <v>3</v>
      </c>
      <c r="F1306" s="8">
        <v>2.46</v>
      </c>
      <c r="G1306" s="4">
        <v>1</v>
      </c>
      <c r="H1306" s="8">
        <v>1.01</v>
      </c>
      <c r="I1306" s="4">
        <v>0</v>
      </c>
    </row>
    <row r="1307" spans="1:9" x14ac:dyDescent="0.2">
      <c r="A1307" s="2">
        <v>14</v>
      </c>
      <c r="B1307" s="1" t="s">
        <v>167</v>
      </c>
      <c r="C1307" s="4">
        <v>4</v>
      </c>
      <c r="D1307" s="8">
        <v>1.8</v>
      </c>
      <c r="E1307" s="4">
        <v>2</v>
      </c>
      <c r="F1307" s="8">
        <v>1.64</v>
      </c>
      <c r="G1307" s="4">
        <v>2</v>
      </c>
      <c r="H1307" s="8">
        <v>2.02</v>
      </c>
      <c r="I1307" s="4">
        <v>0</v>
      </c>
    </row>
    <row r="1308" spans="1:9" x14ac:dyDescent="0.2">
      <c r="A1308" s="2">
        <v>17</v>
      </c>
      <c r="B1308" s="1" t="s">
        <v>197</v>
      </c>
      <c r="C1308" s="4">
        <v>3</v>
      </c>
      <c r="D1308" s="8">
        <v>1.35</v>
      </c>
      <c r="E1308" s="4">
        <v>1</v>
      </c>
      <c r="F1308" s="8">
        <v>0.82</v>
      </c>
      <c r="G1308" s="4">
        <v>2</v>
      </c>
      <c r="H1308" s="8">
        <v>2.02</v>
      </c>
      <c r="I1308" s="4">
        <v>0</v>
      </c>
    </row>
    <row r="1309" spans="1:9" x14ac:dyDescent="0.2">
      <c r="A1309" s="2">
        <v>17</v>
      </c>
      <c r="B1309" s="1" t="s">
        <v>175</v>
      </c>
      <c r="C1309" s="4">
        <v>3</v>
      </c>
      <c r="D1309" s="8">
        <v>1.35</v>
      </c>
      <c r="E1309" s="4">
        <v>0</v>
      </c>
      <c r="F1309" s="8">
        <v>0</v>
      </c>
      <c r="G1309" s="4">
        <v>3</v>
      </c>
      <c r="H1309" s="8">
        <v>3.03</v>
      </c>
      <c r="I1309" s="4">
        <v>0</v>
      </c>
    </row>
    <row r="1310" spans="1:9" x14ac:dyDescent="0.2">
      <c r="A1310" s="2">
        <v>17</v>
      </c>
      <c r="B1310" s="1" t="s">
        <v>174</v>
      </c>
      <c r="C1310" s="4">
        <v>3</v>
      </c>
      <c r="D1310" s="8">
        <v>1.35</v>
      </c>
      <c r="E1310" s="4">
        <v>2</v>
      </c>
      <c r="F1310" s="8">
        <v>1.64</v>
      </c>
      <c r="G1310" s="4">
        <v>1</v>
      </c>
      <c r="H1310" s="8">
        <v>1.01</v>
      </c>
      <c r="I1310" s="4">
        <v>0</v>
      </c>
    </row>
    <row r="1311" spans="1:9" x14ac:dyDescent="0.2">
      <c r="A1311" s="2">
        <v>17</v>
      </c>
      <c r="B1311" s="1" t="s">
        <v>187</v>
      </c>
      <c r="C1311" s="4">
        <v>3</v>
      </c>
      <c r="D1311" s="8">
        <v>1.35</v>
      </c>
      <c r="E1311" s="4">
        <v>1</v>
      </c>
      <c r="F1311" s="8">
        <v>0.82</v>
      </c>
      <c r="G1311" s="4">
        <v>2</v>
      </c>
      <c r="H1311" s="8">
        <v>2.02</v>
      </c>
      <c r="I1311" s="4">
        <v>0</v>
      </c>
    </row>
    <row r="1312" spans="1:9" x14ac:dyDescent="0.2">
      <c r="A1312" s="2">
        <v>17</v>
      </c>
      <c r="B1312" s="1" t="s">
        <v>233</v>
      </c>
      <c r="C1312" s="4">
        <v>3</v>
      </c>
      <c r="D1312" s="8">
        <v>1.35</v>
      </c>
      <c r="E1312" s="4">
        <v>1</v>
      </c>
      <c r="F1312" s="8">
        <v>0.82</v>
      </c>
      <c r="G1312" s="4">
        <v>2</v>
      </c>
      <c r="H1312" s="8">
        <v>2.02</v>
      </c>
      <c r="I1312" s="4">
        <v>0</v>
      </c>
    </row>
    <row r="1313" spans="1:9" x14ac:dyDescent="0.2">
      <c r="A1313" s="2">
        <v>17</v>
      </c>
      <c r="B1313" s="1" t="s">
        <v>203</v>
      </c>
      <c r="C1313" s="4">
        <v>3</v>
      </c>
      <c r="D1313" s="8">
        <v>1.35</v>
      </c>
      <c r="E1313" s="4">
        <v>0</v>
      </c>
      <c r="F1313" s="8">
        <v>0</v>
      </c>
      <c r="G1313" s="4">
        <v>3</v>
      </c>
      <c r="H1313" s="8">
        <v>3.03</v>
      </c>
      <c r="I1313" s="4">
        <v>0</v>
      </c>
    </row>
    <row r="1314" spans="1:9" x14ac:dyDescent="0.2">
      <c r="A1314" s="2">
        <v>17</v>
      </c>
      <c r="B1314" s="1" t="s">
        <v>177</v>
      </c>
      <c r="C1314" s="4">
        <v>3</v>
      </c>
      <c r="D1314" s="8">
        <v>1.35</v>
      </c>
      <c r="E1314" s="4">
        <v>2</v>
      </c>
      <c r="F1314" s="8">
        <v>1.64</v>
      </c>
      <c r="G1314" s="4">
        <v>1</v>
      </c>
      <c r="H1314" s="8">
        <v>1.01</v>
      </c>
      <c r="I1314" s="4">
        <v>0</v>
      </c>
    </row>
    <row r="1315" spans="1:9" x14ac:dyDescent="0.2">
      <c r="A1315" s="2">
        <v>17</v>
      </c>
      <c r="B1315" s="1" t="s">
        <v>204</v>
      </c>
      <c r="C1315" s="4">
        <v>3</v>
      </c>
      <c r="D1315" s="8">
        <v>1.35</v>
      </c>
      <c r="E1315" s="4">
        <v>2</v>
      </c>
      <c r="F1315" s="8">
        <v>1.64</v>
      </c>
      <c r="G1315" s="4">
        <v>1</v>
      </c>
      <c r="H1315" s="8">
        <v>1.01</v>
      </c>
      <c r="I1315" s="4">
        <v>0</v>
      </c>
    </row>
    <row r="1316" spans="1:9" x14ac:dyDescent="0.2">
      <c r="A1316" s="2">
        <v>17</v>
      </c>
      <c r="B1316" s="1" t="s">
        <v>191</v>
      </c>
      <c r="C1316" s="4">
        <v>3</v>
      </c>
      <c r="D1316" s="8">
        <v>1.35</v>
      </c>
      <c r="E1316" s="4">
        <v>0</v>
      </c>
      <c r="F1316" s="8">
        <v>0</v>
      </c>
      <c r="G1316" s="4">
        <v>3</v>
      </c>
      <c r="H1316" s="8">
        <v>3.03</v>
      </c>
      <c r="I1316" s="4">
        <v>0</v>
      </c>
    </row>
    <row r="1317" spans="1:9" x14ac:dyDescent="0.2">
      <c r="A1317" s="2">
        <v>17</v>
      </c>
      <c r="B1317" s="1" t="s">
        <v>193</v>
      </c>
      <c r="C1317" s="4">
        <v>3</v>
      </c>
      <c r="D1317" s="8">
        <v>1.35</v>
      </c>
      <c r="E1317" s="4">
        <v>3</v>
      </c>
      <c r="F1317" s="8">
        <v>2.46</v>
      </c>
      <c r="G1317" s="4">
        <v>0</v>
      </c>
      <c r="H1317" s="8">
        <v>0</v>
      </c>
      <c r="I1317" s="4">
        <v>0</v>
      </c>
    </row>
    <row r="1318" spans="1:9" x14ac:dyDescent="0.2">
      <c r="A1318" s="2">
        <v>17</v>
      </c>
      <c r="B1318" s="1" t="s">
        <v>166</v>
      </c>
      <c r="C1318" s="4">
        <v>3</v>
      </c>
      <c r="D1318" s="8">
        <v>1.35</v>
      </c>
      <c r="E1318" s="4">
        <v>2</v>
      </c>
      <c r="F1318" s="8">
        <v>1.64</v>
      </c>
      <c r="G1318" s="4">
        <v>1</v>
      </c>
      <c r="H1318" s="8">
        <v>1.01</v>
      </c>
      <c r="I1318" s="4">
        <v>0</v>
      </c>
    </row>
    <row r="1319" spans="1:9" x14ac:dyDescent="0.2">
      <c r="A1319" s="2">
        <v>17</v>
      </c>
      <c r="B1319" s="1" t="s">
        <v>186</v>
      </c>
      <c r="C1319" s="4">
        <v>3</v>
      </c>
      <c r="D1319" s="8">
        <v>1.35</v>
      </c>
      <c r="E1319" s="4">
        <v>0</v>
      </c>
      <c r="F1319" s="8">
        <v>0</v>
      </c>
      <c r="G1319" s="4">
        <v>3</v>
      </c>
      <c r="H1319" s="8">
        <v>3.03</v>
      </c>
      <c r="I1319" s="4">
        <v>0</v>
      </c>
    </row>
    <row r="1320" spans="1:9" x14ac:dyDescent="0.2">
      <c r="A1320" s="1"/>
      <c r="C1320" s="4"/>
      <c r="D1320" s="8"/>
      <c r="E1320" s="4"/>
      <c r="F1320" s="8"/>
      <c r="G1320" s="4"/>
      <c r="H1320" s="8"/>
      <c r="I1320" s="4"/>
    </row>
    <row r="1321" spans="1:9" x14ac:dyDescent="0.2">
      <c r="A1321" s="1" t="s">
        <v>56</v>
      </c>
      <c r="C1321" s="4"/>
      <c r="D1321" s="8"/>
      <c r="E1321" s="4"/>
      <c r="F1321" s="8"/>
      <c r="G1321" s="4"/>
      <c r="H1321" s="8"/>
      <c r="I1321" s="4"/>
    </row>
    <row r="1322" spans="1:9" x14ac:dyDescent="0.2">
      <c r="A1322" s="2">
        <v>1</v>
      </c>
      <c r="B1322" s="1" t="s">
        <v>192</v>
      </c>
      <c r="C1322" s="4">
        <v>9</v>
      </c>
      <c r="D1322" s="8">
        <v>6.04</v>
      </c>
      <c r="E1322" s="4">
        <v>7</v>
      </c>
      <c r="F1322" s="8">
        <v>10</v>
      </c>
      <c r="G1322" s="4">
        <v>2</v>
      </c>
      <c r="H1322" s="8">
        <v>2.6</v>
      </c>
      <c r="I1322" s="4">
        <v>0</v>
      </c>
    </row>
    <row r="1323" spans="1:9" x14ac:dyDescent="0.2">
      <c r="A1323" s="2">
        <v>2</v>
      </c>
      <c r="B1323" s="1" t="s">
        <v>148</v>
      </c>
      <c r="C1323" s="4">
        <v>7</v>
      </c>
      <c r="D1323" s="8">
        <v>4.7</v>
      </c>
      <c r="E1323" s="4">
        <v>2</v>
      </c>
      <c r="F1323" s="8">
        <v>2.86</v>
      </c>
      <c r="G1323" s="4">
        <v>5</v>
      </c>
      <c r="H1323" s="8">
        <v>6.49</v>
      </c>
      <c r="I1323" s="4">
        <v>0</v>
      </c>
    </row>
    <row r="1324" spans="1:9" x14ac:dyDescent="0.2">
      <c r="A1324" s="2">
        <v>3</v>
      </c>
      <c r="B1324" s="1" t="s">
        <v>153</v>
      </c>
      <c r="C1324" s="4">
        <v>6</v>
      </c>
      <c r="D1324" s="8">
        <v>4.03</v>
      </c>
      <c r="E1324" s="4">
        <v>0</v>
      </c>
      <c r="F1324" s="8">
        <v>0</v>
      </c>
      <c r="G1324" s="4">
        <v>6</v>
      </c>
      <c r="H1324" s="8">
        <v>7.79</v>
      </c>
      <c r="I1324" s="4">
        <v>0</v>
      </c>
    </row>
    <row r="1325" spans="1:9" x14ac:dyDescent="0.2">
      <c r="A1325" s="2">
        <v>3</v>
      </c>
      <c r="B1325" s="1" t="s">
        <v>163</v>
      </c>
      <c r="C1325" s="4">
        <v>6</v>
      </c>
      <c r="D1325" s="8">
        <v>4.03</v>
      </c>
      <c r="E1325" s="4">
        <v>6</v>
      </c>
      <c r="F1325" s="8">
        <v>8.57</v>
      </c>
      <c r="G1325" s="4">
        <v>0</v>
      </c>
      <c r="H1325" s="8">
        <v>0</v>
      </c>
      <c r="I1325" s="4">
        <v>0</v>
      </c>
    </row>
    <row r="1326" spans="1:9" x14ac:dyDescent="0.2">
      <c r="A1326" s="2">
        <v>3</v>
      </c>
      <c r="B1326" s="1" t="s">
        <v>164</v>
      </c>
      <c r="C1326" s="4">
        <v>6</v>
      </c>
      <c r="D1326" s="8">
        <v>4.03</v>
      </c>
      <c r="E1326" s="4">
        <v>6</v>
      </c>
      <c r="F1326" s="8">
        <v>8.57</v>
      </c>
      <c r="G1326" s="4">
        <v>0</v>
      </c>
      <c r="H1326" s="8">
        <v>0</v>
      </c>
      <c r="I1326" s="4">
        <v>0</v>
      </c>
    </row>
    <row r="1327" spans="1:9" x14ac:dyDescent="0.2">
      <c r="A1327" s="2">
        <v>3</v>
      </c>
      <c r="B1327" s="1" t="s">
        <v>167</v>
      </c>
      <c r="C1327" s="4">
        <v>6</v>
      </c>
      <c r="D1327" s="8">
        <v>4.03</v>
      </c>
      <c r="E1327" s="4">
        <v>4</v>
      </c>
      <c r="F1327" s="8">
        <v>5.71</v>
      </c>
      <c r="G1327" s="4">
        <v>2</v>
      </c>
      <c r="H1327" s="8">
        <v>2.6</v>
      </c>
      <c r="I1327" s="4">
        <v>0</v>
      </c>
    </row>
    <row r="1328" spans="1:9" x14ac:dyDescent="0.2">
      <c r="A1328" s="2">
        <v>7</v>
      </c>
      <c r="B1328" s="1" t="s">
        <v>150</v>
      </c>
      <c r="C1328" s="4">
        <v>4</v>
      </c>
      <c r="D1328" s="8">
        <v>2.68</v>
      </c>
      <c r="E1328" s="4">
        <v>2</v>
      </c>
      <c r="F1328" s="8">
        <v>2.86</v>
      </c>
      <c r="G1328" s="4">
        <v>2</v>
      </c>
      <c r="H1328" s="8">
        <v>2.6</v>
      </c>
      <c r="I1328" s="4">
        <v>0</v>
      </c>
    </row>
    <row r="1329" spans="1:9" x14ac:dyDescent="0.2">
      <c r="A1329" s="2">
        <v>8</v>
      </c>
      <c r="B1329" s="1" t="s">
        <v>149</v>
      </c>
      <c r="C1329" s="4">
        <v>3</v>
      </c>
      <c r="D1329" s="8">
        <v>2.0099999999999998</v>
      </c>
      <c r="E1329" s="4">
        <v>1</v>
      </c>
      <c r="F1329" s="8">
        <v>1.43</v>
      </c>
      <c r="G1329" s="4">
        <v>2</v>
      </c>
      <c r="H1329" s="8">
        <v>2.6</v>
      </c>
      <c r="I1329" s="4">
        <v>0</v>
      </c>
    </row>
    <row r="1330" spans="1:9" x14ac:dyDescent="0.2">
      <c r="A1330" s="2">
        <v>8</v>
      </c>
      <c r="B1330" s="1" t="s">
        <v>152</v>
      </c>
      <c r="C1330" s="4">
        <v>3</v>
      </c>
      <c r="D1330" s="8">
        <v>2.0099999999999998</v>
      </c>
      <c r="E1330" s="4">
        <v>1</v>
      </c>
      <c r="F1330" s="8">
        <v>1.43</v>
      </c>
      <c r="G1330" s="4">
        <v>2</v>
      </c>
      <c r="H1330" s="8">
        <v>2.6</v>
      </c>
      <c r="I1330" s="4">
        <v>0</v>
      </c>
    </row>
    <row r="1331" spans="1:9" x14ac:dyDescent="0.2">
      <c r="A1331" s="2">
        <v>8</v>
      </c>
      <c r="B1331" s="1" t="s">
        <v>203</v>
      </c>
      <c r="C1331" s="4">
        <v>3</v>
      </c>
      <c r="D1331" s="8">
        <v>2.0099999999999998</v>
      </c>
      <c r="E1331" s="4">
        <v>0</v>
      </c>
      <c r="F1331" s="8">
        <v>0</v>
      </c>
      <c r="G1331" s="4">
        <v>3</v>
      </c>
      <c r="H1331" s="8">
        <v>3.9</v>
      </c>
      <c r="I1331" s="4">
        <v>0</v>
      </c>
    </row>
    <row r="1332" spans="1:9" x14ac:dyDescent="0.2">
      <c r="A1332" s="2">
        <v>8</v>
      </c>
      <c r="B1332" s="1" t="s">
        <v>238</v>
      </c>
      <c r="C1332" s="4">
        <v>3</v>
      </c>
      <c r="D1332" s="8">
        <v>2.0099999999999998</v>
      </c>
      <c r="E1332" s="4">
        <v>1</v>
      </c>
      <c r="F1332" s="8">
        <v>1.43</v>
      </c>
      <c r="G1332" s="4">
        <v>2</v>
      </c>
      <c r="H1332" s="8">
        <v>2.6</v>
      </c>
      <c r="I1332" s="4">
        <v>0</v>
      </c>
    </row>
    <row r="1333" spans="1:9" x14ac:dyDescent="0.2">
      <c r="A1333" s="2">
        <v>8</v>
      </c>
      <c r="B1333" s="1" t="s">
        <v>155</v>
      </c>
      <c r="C1333" s="4">
        <v>3</v>
      </c>
      <c r="D1333" s="8">
        <v>2.0099999999999998</v>
      </c>
      <c r="E1333" s="4">
        <v>1</v>
      </c>
      <c r="F1333" s="8">
        <v>1.43</v>
      </c>
      <c r="G1333" s="4">
        <v>2</v>
      </c>
      <c r="H1333" s="8">
        <v>2.6</v>
      </c>
      <c r="I1333" s="4">
        <v>0</v>
      </c>
    </row>
    <row r="1334" spans="1:9" x14ac:dyDescent="0.2">
      <c r="A1334" s="2">
        <v>8</v>
      </c>
      <c r="B1334" s="1" t="s">
        <v>156</v>
      </c>
      <c r="C1334" s="4">
        <v>3</v>
      </c>
      <c r="D1334" s="8">
        <v>2.0099999999999998</v>
      </c>
      <c r="E1334" s="4">
        <v>3</v>
      </c>
      <c r="F1334" s="8">
        <v>4.29</v>
      </c>
      <c r="G1334" s="4">
        <v>0</v>
      </c>
      <c r="H1334" s="8">
        <v>0</v>
      </c>
      <c r="I1334" s="4">
        <v>0</v>
      </c>
    </row>
    <row r="1335" spans="1:9" x14ac:dyDescent="0.2">
      <c r="A1335" s="2">
        <v>8</v>
      </c>
      <c r="B1335" s="1" t="s">
        <v>158</v>
      </c>
      <c r="C1335" s="4">
        <v>3</v>
      </c>
      <c r="D1335" s="8">
        <v>2.0099999999999998</v>
      </c>
      <c r="E1335" s="4">
        <v>1</v>
      </c>
      <c r="F1335" s="8">
        <v>1.43</v>
      </c>
      <c r="G1335" s="4">
        <v>2</v>
      </c>
      <c r="H1335" s="8">
        <v>2.6</v>
      </c>
      <c r="I1335" s="4">
        <v>0</v>
      </c>
    </row>
    <row r="1336" spans="1:9" x14ac:dyDescent="0.2">
      <c r="A1336" s="2">
        <v>8</v>
      </c>
      <c r="B1336" s="1" t="s">
        <v>162</v>
      </c>
      <c r="C1336" s="4">
        <v>3</v>
      </c>
      <c r="D1336" s="8">
        <v>2.0099999999999998</v>
      </c>
      <c r="E1336" s="4">
        <v>3</v>
      </c>
      <c r="F1336" s="8">
        <v>4.29</v>
      </c>
      <c r="G1336" s="4">
        <v>0</v>
      </c>
      <c r="H1336" s="8">
        <v>0</v>
      </c>
      <c r="I1336" s="4">
        <v>0</v>
      </c>
    </row>
    <row r="1337" spans="1:9" x14ac:dyDescent="0.2">
      <c r="A1337" s="2">
        <v>8</v>
      </c>
      <c r="B1337" s="1" t="s">
        <v>186</v>
      </c>
      <c r="C1337" s="4">
        <v>3</v>
      </c>
      <c r="D1337" s="8">
        <v>2.0099999999999998</v>
      </c>
      <c r="E1337" s="4">
        <v>0</v>
      </c>
      <c r="F1337" s="8">
        <v>0</v>
      </c>
      <c r="G1337" s="4">
        <v>3</v>
      </c>
      <c r="H1337" s="8">
        <v>3.9</v>
      </c>
      <c r="I1337" s="4">
        <v>0</v>
      </c>
    </row>
    <row r="1338" spans="1:9" x14ac:dyDescent="0.2">
      <c r="A1338" s="2">
        <v>17</v>
      </c>
      <c r="B1338" s="1" t="s">
        <v>151</v>
      </c>
      <c r="C1338" s="4">
        <v>2</v>
      </c>
      <c r="D1338" s="8">
        <v>1.34</v>
      </c>
      <c r="E1338" s="4">
        <v>2</v>
      </c>
      <c r="F1338" s="8">
        <v>2.86</v>
      </c>
      <c r="G1338" s="4">
        <v>0</v>
      </c>
      <c r="H1338" s="8">
        <v>0</v>
      </c>
      <c r="I1338" s="4">
        <v>0</v>
      </c>
    </row>
    <row r="1339" spans="1:9" x14ac:dyDescent="0.2">
      <c r="A1339" s="2">
        <v>17</v>
      </c>
      <c r="B1339" s="1" t="s">
        <v>197</v>
      </c>
      <c r="C1339" s="4">
        <v>2</v>
      </c>
      <c r="D1339" s="8">
        <v>1.34</v>
      </c>
      <c r="E1339" s="4">
        <v>1</v>
      </c>
      <c r="F1339" s="8">
        <v>1.43</v>
      </c>
      <c r="G1339" s="4">
        <v>1</v>
      </c>
      <c r="H1339" s="8">
        <v>1.3</v>
      </c>
      <c r="I1339" s="4">
        <v>0</v>
      </c>
    </row>
    <row r="1340" spans="1:9" x14ac:dyDescent="0.2">
      <c r="A1340" s="2">
        <v>17</v>
      </c>
      <c r="B1340" s="1" t="s">
        <v>234</v>
      </c>
      <c r="C1340" s="4">
        <v>2</v>
      </c>
      <c r="D1340" s="8">
        <v>1.34</v>
      </c>
      <c r="E1340" s="4">
        <v>0</v>
      </c>
      <c r="F1340" s="8">
        <v>0</v>
      </c>
      <c r="G1340" s="4">
        <v>2</v>
      </c>
      <c r="H1340" s="8">
        <v>2.6</v>
      </c>
      <c r="I1340" s="4">
        <v>0</v>
      </c>
    </row>
    <row r="1341" spans="1:9" x14ac:dyDescent="0.2">
      <c r="A1341" s="2">
        <v>17</v>
      </c>
      <c r="B1341" s="1" t="s">
        <v>235</v>
      </c>
      <c r="C1341" s="4">
        <v>2</v>
      </c>
      <c r="D1341" s="8">
        <v>1.34</v>
      </c>
      <c r="E1341" s="4">
        <v>0</v>
      </c>
      <c r="F1341" s="8">
        <v>0</v>
      </c>
      <c r="G1341" s="4">
        <v>2</v>
      </c>
      <c r="H1341" s="8">
        <v>2.6</v>
      </c>
      <c r="I1341" s="4">
        <v>0</v>
      </c>
    </row>
    <row r="1342" spans="1:9" x14ac:dyDescent="0.2">
      <c r="A1342" s="2">
        <v>17</v>
      </c>
      <c r="B1342" s="1" t="s">
        <v>236</v>
      </c>
      <c r="C1342" s="4">
        <v>2</v>
      </c>
      <c r="D1342" s="8">
        <v>1.34</v>
      </c>
      <c r="E1342" s="4">
        <v>0</v>
      </c>
      <c r="F1342" s="8">
        <v>0</v>
      </c>
      <c r="G1342" s="4">
        <v>2</v>
      </c>
      <c r="H1342" s="8">
        <v>2.6</v>
      </c>
      <c r="I1342" s="4">
        <v>0</v>
      </c>
    </row>
    <row r="1343" spans="1:9" x14ac:dyDescent="0.2">
      <c r="A1343" s="2">
        <v>17</v>
      </c>
      <c r="B1343" s="1" t="s">
        <v>237</v>
      </c>
      <c r="C1343" s="4">
        <v>2</v>
      </c>
      <c r="D1343" s="8">
        <v>1.34</v>
      </c>
      <c r="E1343" s="4">
        <v>1</v>
      </c>
      <c r="F1343" s="8">
        <v>1.43</v>
      </c>
      <c r="G1343" s="4">
        <v>1</v>
      </c>
      <c r="H1343" s="8">
        <v>1.3</v>
      </c>
      <c r="I1343" s="4">
        <v>0</v>
      </c>
    </row>
    <row r="1344" spans="1:9" x14ac:dyDescent="0.2">
      <c r="A1344" s="2">
        <v>17</v>
      </c>
      <c r="B1344" s="1" t="s">
        <v>239</v>
      </c>
      <c r="C1344" s="4">
        <v>2</v>
      </c>
      <c r="D1344" s="8">
        <v>1.34</v>
      </c>
      <c r="E1344" s="4">
        <v>1</v>
      </c>
      <c r="F1344" s="8">
        <v>1.43</v>
      </c>
      <c r="G1344" s="4">
        <v>1</v>
      </c>
      <c r="H1344" s="8">
        <v>1.3</v>
      </c>
      <c r="I1344" s="4">
        <v>0</v>
      </c>
    </row>
    <row r="1345" spans="1:9" x14ac:dyDescent="0.2">
      <c r="A1345" s="2">
        <v>17</v>
      </c>
      <c r="B1345" s="1" t="s">
        <v>229</v>
      </c>
      <c r="C1345" s="4">
        <v>2</v>
      </c>
      <c r="D1345" s="8">
        <v>1.34</v>
      </c>
      <c r="E1345" s="4">
        <v>0</v>
      </c>
      <c r="F1345" s="8">
        <v>0</v>
      </c>
      <c r="G1345" s="4">
        <v>2</v>
      </c>
      <c r="H1345" s="8">
        <v>2.6</v>
      </c>
      <c r="I1345" s="4">
        <v>0</v>
      </c>
    </row>
    <row r="1346" spans="1:9" x14ac:dyDescent="0.2">
      <c r="A1346" s="2">
        <v>17</v>
      </c>
      <c r="B1346" s="1" t="s">
        <v>230</v>
      </c>
      <c r="C1346" s="4">
        <v>2</v>
      </c>
      <c r="D1346" s="8">
        <v>1.34</v>
      </c>
      <c r="E1346" s="4">
        <v>2</v>
      </c>
      <c r="F1346" s="8">
        <v>2.86</v>
      </c>
      <c r="G1346" s="4">
        <v>0</v>
      </c>
      <c r="H1346" s="8">
        <v>0</v>
      </c>
      <c r="I1346" s="4">
        <v>0</v>
      </c>
    </row>
    <row r="1347" spans="1:9" x14ac:dyDescent="0.2">
      <c r="A1347" s="2">
        <v>17</v>
      </c>
      <c r="B1347" s="1" t="s">
        <v>190</v>
      </c>
      <c r="C1347" s="4">
        <v>2</v>
      </c>
      <c r="D1347" s="8">
        <v>1.34</v>
      </c>
      <c r="E1347" s="4">
        <v>1</v>
      </c>
      <c r="F1347" s="8">
        <v>1.43</v>
      </c>
      <c r="G1347" s="4">
        <v>1</v>
      </c>
      <c r="H1347" s="8">
        <v>1.3</v>
      </c>
      <c r="I1347" s="4">
        <v>0</v>
      </c>
    </row>
    <row r="1348" spans="1:9" x14ac:dyDescent="0.2">
      <c r="A1348" s="2">
        <v>17</v>
      </c>
      <c r="B1348" s="1" t="s">
        <v>154</v>
      </c>
      <c r="C1348" s="4">
        <v>2</v>
      </c>
      <c r="D1348" s="8">
        <v>1.34</v>
      </c>
      <c r="E1348" s="4">
        <v>2</v>
      </c>
      <c r="F1348" s="8">
        <v>2.86</v>
      </c>
      <c r="G1348" s="4">
        <v>0</v>
      </c>
      <c r="H1348" s="8">
        <v>0</v>
      </c>
      <c r="I1348" s="4">
        <v>0</v>
      </c>
    </row>
    <row r="1349" spans="1:9" x14ac:dyDescent="0.2">
      <c r="A1349" s="2">
        <v>17</v>
      </c>
      <c r="B1349" s="1" t="s">
        <v>168</v>
      </c>
      <c r="C1349" s="4">
        <v>2</v>
      </c>
      <c r="D1349" s="8">
        <v>1.34</v>
      </c>
      <c r="E1349" s="4">
        <v>1</v>
      </c>
      <c r="F1349" s="8">
        <v>1.43</v>
      </c>
      <c r="G1349" s="4">
        <v>1</v>
      </c>
      <c r="H1349" s="8">
        <v>1.3</v>
      </c>
      <c r="I1349" s="4">
        <v>0</v>
      </c>
    </row>
    <row r="1350" spans="1:9" x14ac:dyDescent="0.2">
      <c r="A1350" s="2">
        <v>17</v>
      </c>
      <c r="B1350" s="1" t="s">
        <v>191</v>
      </c>
      <c r="C1350" s="4">
        <v>2</v>
      </c>
      <c r="D1350" s="8">
        <v>1.34</v>
      </c>
      <c r="E1350" s="4">
        <v>1</v>
      </c>
      <c r="F1350" s="8">
        <v>1.43</v>
      </c>
      <c r="G1350" s="4">
        <v>1</v>
      </c>
      <c r="H1350" s="8">
        <v>1.3</v>
      </c>
      <c r="I1350" s="4">
        <v>0</v>
      </c>
    </row>
    <row r="1351" spans="1:9" x14ac:dyDescent="0.2">
      <c r="A1351" s="2">
        <v>17</v>
      </c>
      <c r="B1351" s="1" t="s">
        <v>210</v>
      </c>
      <c r="C1351" s="4">
        <v>2</v>
      </c>
      <c r="D1351" s="8">
        <v>1.34</v>
      </c>
      <c r="E1351" s="4">
        <v>0</v>
      </c>
      <c r="F1351" s="8">
        <v>0</v>
      </c>
      <c r="G1351" s="4">
        <v>2</v>
      </c>
      <c r="H1351" s="8">
        <v>2.6</v>
      </c>
      <c r="I1351" s="4">
        <v>0</v>
      </c>
    </row>
    <row r="1352" spans="1:9" x14ac:dyDescent="0.2">
      <c r="A1352" s="2">
        <v>17</v>
      </c>
      <c r="B1352" s="1" t="s">
        <v>157</v>
      </c>
      <c r="C1352" s="4">
        <v>2</v>
      </c>
      <c r="D1352" s="8">
        <v>1.34</v>
      </c>
      <c r="E1352" s="4">
        <v>0</v>
      </c>
      <c r="F1352" s="8">
        <v>0</v>
      </c>
      <c r="G1352" s="4">
        <v>2</v>
      </c>
      <c r="H1352" s="8">
        <v>2.6</v>
      </c>
      <c r="I1352" s="4">
        <v>0</v>
      </c>
    </row>
    <row r="1353" spans="1:9" x14ac:dyDescent="0.2">
      <c r="A1353" s="2">
        <v>17</v>
      </c>
      <c r="B1353" s="1" t="s">
        <v>195</v>
      </c>
      <c r="C1353" s="4">
        <v>2</v>
      </c>
      <c r="D1353" s="8">
        <v>1.34</v>
      </c>
      <c r="E1353" s="4">
        <v>2</v>
      </c>
      <c r="F1353" s="8">
        <v>2.86</v>
      </c>
      <c r="G1353" s="4">
        <v>0</v>
      </c>
      <c r="H1353" s="8">
        <v>0</v>
      </c>
      <c r="I1353" s="4">
        <v>0</v>
      </c>
    </row>
    <row r="1354" spans="1:9" x14ac:dyDescent="0.2">
      <c r="A1354" s="2">
        <v>17</v>
      </c>
      <c r="B1354" s="1" t="s">
        <v>165</v>
      </c>
      <c r="C1354" s="4">
        <v>2</v>
      </c>
      <c r="D1354" s="8">
        <v>1.34</v>
      </c>
      <c r="E1354" s="4">
        <v>1</v>
      </c>
      <c r="F1354" s="8">
        <v>1.43</v>
      </c>
      <c r="G1354" s="4">
        <v>1</v>
      </c>
      <c r="H1354" s="8">
        <v>1.3</v>
      </c>
      <c r="I1354" s="4">
        <v>0</v>
      </c>
    </row>
    <row r="1355" spans="1:9" x14ac:dyDescent="0.2">
      <c r="A1355" s="2">
        <v>17</v>
      </c>
      <c r="B1355" s="1" t="s">
        <v>240</v>
      </c>
      <c r="C1355" s="4">
        <v>2</v>
      </c>
      <c r="D1355" s="8">
        <v>1.34</v>
      </c>
      <c r="E1355" s="4">
        <v>0</v>
      </c>
      <c r="F1355" s="8">
        <v>0</v>
      </c>
      <c r="G1355" s="4">
        <v>2</v>
      </c>
      <c r="H1355" s="8">
        <v>2.6</v>
      </c>
      <c r="I1355" s="4">
        <v>0</v>
      </c>
    </row>
    <row r="1356" spans="1:9" x14ac:dyDescent="0.2">
      <c r="A1356" s="2">
        <v>17</v>
      </c>
      <c r="B1356" s="1" t="s">
        <v>241</v>
      </c>
      <c r="C1356" s="4">
        <v>2</v>
      </c>
      <c r="D1356" s="8">
        <v>1.34</v>
      </c>
      <c r="E1356" s="4">
        <v>0</v>
      </c>
      <c r="F1356" s="8">
        <v>0</v>
      </c>
      <c r="G1356" s="4">
        <v>2</v>
      </c>
      <c r="H1356" s="8">
        <v>2.6</v>
      </c>
      <c r="I1356" s="4">
        <v>0</v>
      </c>
    </row>
    <row r="1357" spans="1:9" x14ac:dyDescent="0.2">
      <c r="A1357" s="1"/>
      <c r="C1357" s="4"/>
      <c r="D1357" s="8"/>
      <c r="E1357" s="4"/>
      <c r="F1357" s="8"/>
      <c r="G1357" s="4"/>
      <c r="H1357" s="8"/>
      <c r="I1357" s="4"/>
    </row>
    <row r="1358" spans="1:9" x14ac:dyDescent="0.2">
      <c r="A1358" s="1" t="s">
        <v>57</v>
      </c>
      <c r="C1358" s="4"/>
      <c r="D1358" s="8"/>
      <c r="E1358" s="4"/>
      <c r="F1358" s="8"/>
      <c r="G1358" s="4"/>
      <c r="H1358" s="8"/>
      <c r="I1358" s="4"/>
    </row>
    <row r="1359" spans="1:9" x14ac:dyDescent="0.2">
      <c r="A1359" s="2">
        <v>1</v>
      </c>
      <c r="B1359" s="1" t="s">
        <v>164</v>
      </c>
      <c r="C1359" s="4">
        <v>12</v>
      </c>
      <c r="D1359" s="8">
        <v>6.38</v>
      </c>
      <c r="E1359" s="4">
        <v>12</v>
      </c>
      <c r="F1359" s="8">
        <v>11.11</v>
      </c>
      <c r="G1359" s="4">
        <v>0</v>
      </c>
      <c r="H1359" s="8">
        <v>0</v>
      </c>
      <c r="I1359" s="4">
        <v>0</v>
      </c>
    </row>
    <row r="1360" spans="1:9" x14ac:dyDescent="0.2">
      <c r="A1360" s="2">
        <v>2</v>
      </c>
      <c r="B1360" s="1" t="s">
        <v>163</v>
      </c>
      <c r="C1360" s="4">
        <v>9</v>
      </c>
      <c r="D1360" s="8">
        <v>4.79</v>
      </c>
      <c r="E1360" s="4">
        <v>9</v>
      </c>
      <c r="F1360" s="8">
        <v>8.33</v>
      </c>
      <c r="G1360" s="4">
        <v>0</v>
      </c>
      <c r="H1360" s="8">
        <v>0</v>
      </c>
      <c r="I1360" s="4">
        <v>0</v>
      </c>
    </row>
    <row r="1361" spans="1:9" x14ac:dyDescent="0.2">
      <c r="A1361" s="2">
        <v>2</v>
      </c>
      <c r="B1361" s="1" t="s">
        <v>167</v>
      </c>
      <c r="C1361" s="4">
        <v>9</v>
      </c>
      <c r="D1361" s="8">
        <v>4.79</v>
      </c>
      <c r="E1361" s="4">
        <v>8</v>
      </c>
      <c r="F1361" s="8">
        <v>7.41</v>
      </c>
      <c r="G1361" s="4">
        <v>1</v>
      </c>
      <c r="H1361" s="8">
        <v>1.27</v>
      </c>
      <c r="I1361" s="4">
        <v>0</v>
      </c>
    </row>
    <row r="1362" spans="1:9" x14ac:dyDescent="0.2">
      <c r="A1362" s="2">
        <v>4</v>
      </c>
      <c r="B1362" s="1" t="s">
        <v>150</v>
      </c>
      <c r="C1362" s="4">
        <v>8</v>
      </c>
      <c r="D1362" s="8">
        <v>4.26</v>
      </c>
      <c r="E1362" s="4">
        <v>4</v>
      </c>
      <c r="F1362" s="8">
        <v>3.7</v>
      </c>
      <c r="G1362" s="4">
        <v>4</v>
      </c>
      <c r="H1362" s="8">
        <v>5.0599999999999996</v>
      </c>
      <c r="I1362" s="4">
        <v>0</v>
      </c>
    </row>
    <row r="1363" spans="1:9" x14ac:dyDescent="0.2">
      <c r="A1363" s="2">
        <v>5</v>
      </c>
      <c r="B1363" s="1" t="s">
        <v>195</v>
      </c>
      <c r="C1363" s="4">
        <v>7</v>
      </c>
      <c r="D1363" s="8">
        <v>3.72</v>
      </c>
      <c r="E1363" s="4">
        <v>5</v>
      </c>
      <c r="F1363" s="8">
        <v>4.63</v>
      </c>
      <c r="G1363" s="4">
        <v>2</v>
      </c>
      <c r="H1363" s="8">
        <v>2.5299999999999998</v>
      </c>
      <c r="I1363" s="4">
        <v>0</v>
      </c>
    </row>
    <row r="1364" spans="1:9" x14ac:dyDescent="0.2">
      <c r="A1364" s="2">
        <v>6</v>
      </c>
      <c r="B1364" s="1" t="s">
        <v>148</v>
      </c>
      <c r="C1364" s="4">
        <v>6</v>
      </c>
      <c r="D1364" s="8">
        <v>3.19</v>
      </c>
      <c r="E1364" s="4">
        <v>0</v>
      </c>
      <c r="F1364" s="8">
        <v>0</v>
      </c>
      <c r="G1364" s="4">
        <v>6</v>
      </c>
      <c r="H1364" s="8">
        <v>7.59</v>
      </c>
      <c r="I1364" s="4">
        <v>0</v>
      </c>
    </row>
    <row r="1365" spans="1:9" x14ac:dyDescent="0.2">
      <c r="A1365" s="2">
        <v>6</v>
      </c>
      <c r="B1365" s="1" t="s">
        <v>162</v>
      </c>
      <c r="C1365" s="4">
        <v>6</v>
      </c>
      <c r="D1365" s="8">
        <v>3.19</v>
      </c>
      <c r="E1365" s="4">
        <v>6</v>
      </c>
      <c r="F1365" s="8">
        <v>5.56</v>
      </c>
      <c r="G1365" s="4">
        <v>0</v>
      </c>
      <c r="H1365" s="8">
        <v>0</v>
      </c>
      <c r="I1365" s="4">
        <v>0</v>
      </c>
    </row>
    <row r="1366" spans="1:9" x14ac:dyDescent="0.2">
      <c r="A1366" s="2">
        <v>8</v>
      </c>
      <c r="B1366" s="1" t="s">
        <v>197</v>
      </c>
      <c r="C1366" s="4">
        <v>5</v>
      </c>
      <c r="D1366" s="8">
        <v>2.66</v>
      </c>
      <c r="E1366" s="4">
        <v>4</v>
      </c>
      <c r="F1366" s="8">
        <v>3.7</v>
      </c>
      <c r="G1366" s="4">
        <v>1</v>
      </c>
      <c r="H1366" s="8">
        <v>1.27</v>
      </c>
      <c r="I1366" s="4">
        <v>0</v>
      </c>
    </row>
    <row r="1367" spans="1:9" x14ac:dyDescent="0.2">
      <c r="A1367" s="2">
        <v>8</v>
      </c>
      <c r="B1367" s="1" t="s">
        <v>161</v>
      </c>
      <c r="C1367" s="4">
        <v>5</v>
      </c>
      <c r="D1367" s="8">
        <v>2.66</v>
      </c>
      <c r="E1367" s="4">
        <v>3</v>
      </c>
      <c r="F1367" s="8">
        <v>2.78</v>
      </c>
      <c r="G1367" s="4">
        <v>2</v>
      </c>
      <c r="H1367" s="8">
        <v>2.5299999999999998</v>
      </c>
      <c r="I1367" s="4">
        <v>0</v>
      </c>
    </row>
    <row r="1368" spans="1:9" x14ac:dyDescent="0.2">
      <c r="A1368" s="2">
        <v>10</v>
      </c>
      <c r="B1368" s="1" t="s">
        <v>230</v>
      </c>
      <c r="C1368" s="4">
        <v>4</v>
      </c>
      <c r="D1368" s="8">
        <v>2.13</v>
      </c>
      <c r="E1368" s="4">
        <v>4</v>
      </c>
      <c r="F1368" s="8">
        <v>3.7</v>
      </c>
      <c r="G1368" s="4">
        <v>0</v>
      </c>
      <c r="H1368" s="8">
        <v>0</v>
      </c>
      <c r="I1368" s="4">
        <v>0</v>
      </c>
    </row>
    <row r="1369" spans="1:9" x14ac:dyDescent="0.2">
      <c r="A1369" s="2">
        <v>10</v>
      </c>
      <c r="B1369" s="1" t="s">
        <v>154</v>
      </c>
      <c r="C1369" s="4">
        <v>4</v>
      </c>
      <c r="D1369" s="8">
        <v>2.13</v>
      </c>
      <c r="E1369" s="4">
        <v>4</v>
      </c>
      <c r="F1369" s="8">
        <v>3.7</v>
      </c>
      <c r="G1369" s="4">
        <v>0</v>
      </c>
      <c r="H1369" s="8">
        <v>0</v>
      </c>
      <c r="I1369" s="4">
        <v>0</v>
      </c>
    </row>
    <row r="1370" spans="1:9" x14ac:dyDescent="0.2">
      <c r="A1370" s="2">
        <v>12</v>
      </c>
      <c r="B1370" s="1" t="s">
        <v>149</v>
      </c>
      <c r="C1370" s="4">
        <v>3</v>
      </c>
      <c r="D1370" s="8">
        <v>1.6</v>
      </c>
      <c r="E1370" s="4">
        <v>0</v>
      </c>
      <c r="F1370" s="8">
        <v>0</v>
      </c>
      <c r="G1370" s="4">
        <v>3</v>
      </c>
      <c r="H1370" s="8">
        <v>3.8</v>
      </c>
      <c r="I1370" s="4">
        <v>0</v>
      </c>
    </row>
    <row r="1371" spans="1:9" x14ac:dyDescent="0.2">
      <c r="A1371" s="2">
        <v>12</v>
      </c>
      <c r="B1371" s="1" t="s">
        <v>151</v>
      </c>
      <c r="C1371" s="4">
        <v>3</v>
      </c>
      <c r="D1371" s="8">
        <v>1.6</v>
      </c>
      <c r="E1371" s="4">
        <v>2</v>
      </c>
      <c r="F1371" s="8">
        <v>1.85</v>
      </c>
      <c r="G1371" s="4">
        <v>1</v>
      </c>
      <c r="H1371" s="8">
        <v>1.27</v>
      </c>
      <c r="I1371" s="4">
        <v>0</v>
      </c>
    </row>
    <row r="1372" spans="1:9" x14ac:dyDescent="0.2">
      <c r="A1372" s="2">
        <v>12</v>
      </c>
      <c r="B1372" s="1" t="s">
        <v>209</v>
      </c>
      <c r="C1372" s="4">
        <v>3</v>
      </c>
      <c r="D1372" s="8">
        <v>1.6</v>
      </c>
      <c r="E1372" s="4">
        <v>2</v>
      </c>
      <c r="F1372" s="8">
        <v>1.85</v>
      </c>
      <c r="G1372" s="4">
        <v>1</v>
      </c>
      <c r="H1372" s="8">
        <v>1.27</v>
      </c>
      <c r="I1372" s="4">
        <v>0</v>
      </c>
    </row>
    <row r="1373" spans="1:9" x14ac:dyDescent="0.2">
      <c r="A1373" s="2">
        <v>12</v>
      </c>
      <c r="B1373" s="1" t="s">
        <v>174</v>
      </c>
      <c r="C1373" s="4">
        <v>3</v>
      </c>
      <c r="D1373" s="8">
        <v>1.6</v>
      </c>
      <c r="E1373" s="4">
        <v>0</v>
      </c>
      <c r="F1373" s="8">
        <v>0</v>
      </c>
      <c r="G1373" s="4">
        <v>3</v>
      </c>
      <c r="H1373" s="8">
        <v>3.8</v>
      </c>
      <c r="I1373" s="4">
        <v>0</v>
      </c>
    </row>
    <row r="1374" spans="1:9" x14ac:dyDescent="0.2">
      <c r="A1374" s="2">
        <v>12</v>
      </c>
      <c r="B1374" s="1" t="s">
        <v>152</v>
      </c>
      <c r="C1374" s="4">
        <v>3</v>
      </c>
      <c r="D1374" s="8">
        <v>1.6</v>
      </c>
      <c r="E1374" s="4">
        <v>1</v>
      </c>
      <c r="F1374" s="8">
        <v>0.93</v>
      </c>
      <c r="G1374" s="4">
        <v>2</v>
      </c>
      <c r="H1374" s="8">
        <v>2.5299999999999998</v>
      </c>
      <c r="I1374" s="4">
        <v>0</v>
      </c>
    </row>
    <row r="1375" spans="1:9" x14ac:dyDescent="0.2">
      <c r="A1375" s="2">
        <v>12</v>
      </c>
      <c r="B1375" s="1" t="s">
        <v>153</v>
      </c>
      <c r="C1375" s="4">
        <v>3</v>
      </c>
      <c r="D1375" s="8">
        <v>1.6</v>
      </c>
      <c r="E1375" s="4">
        <v>0</v>
      </c>
      <c r="F1375" s="8">
        <v>0</v>
      </c>
      <c r="G1375" s="4">
        <v>3</v>
      </c>
      <c r="H1375" s="8">
        <v>3.8</v>
      </c>
      <c r="I1375" s="4">
        <v>0</v>
      </c>
    </row>
    <row r="1376" spans="1:9" x14ac:dyDescent="0.2">
      <c r="A1376" s="2">
        <v>12</v>
      </c>
      <c r="B1376" s="1" t="s">
        <v>189</v>
      </c>
      <c r="C1376" s="4">
        <v>3</v>
      </c>
      <c r="D1376" s="8">
        <v>1.6</v>
      </c>
      <c r="E1376" s="4">
        <v>3</v>
      </c>
      <c r="F1376" s="8">
        <v>2.78</v>
      </c>
      <c r="G1376" s="4">
        <v>0</v>
      </c>
      <c r="H1376" s="8">
        <v>0</v>
      </c>
      <c r="I1376" s="4">
        <v>0</v>
      </c>
    </row>
    <row r="1377" spans="1:9" x14ac:dyDescent="0.2">
      <c r="A1377" s="2">
        <v>12</v>
      </c>
      <c r="B1377" s="1" t="s">
        <v>198</v>
      </c>
      <c r="C1377" s="4">
        <v>3</v>
      </c>
      <c r="D1377" s="8">
        <v>1.6</v>
      </c>
      <c r="E1377" s="4">
        <v>3</v>
      </c>
      <c r="F1377" s="8">
        <v>2.78</v>
      </c>
      <c r="G1377" s="4">
        <v>0</v>
      </c>
      <c r="H1377" s="8">
        <v>0</v>
      </c>
      <c r="I1377" s="4">
        <v>0</v>
      </c>
    </row>
    <row r="1378" spans="1:9" x14ac:dyDescent="0.2">
      <c r="A1378" s="2">
        <v>12</v>
      </c>
      <c r="B1378" s="1" t="s">
        <v>204</v>
      </c>
      <c r="C1378" s="4">
        <v>3</v>
      </c>
      <c r="D1378" s="8">
        <v>1.6</v>
      </c>
      <c r="E1378" s="4">
        <v>3</v>
      </c>
      <c r="F1378" s="8">
        <v>2.78</v>
      </c>
      <c r="G1378" s="4">
        <v>0</v>
      </c>
      <c r="H1378" s="8">
        <v>0</v>
      </c>
      <c r="I1378" s="4">
        <v>0</v>
      </c>
    </row>
    <row r="1379" spans="1:9" x14ac:dyDescent="0.2">
      <c r="A1379" s="2">
        <v>12</v>
      </c>
      <c r="B1379" s="1" t="s">
        <v>192</v>
      </c>
      <c r="C1379" s="4">
        <v>3</v>
      </c>
      <c r="D1379" s="8">
        <v>1.6</v>
      </c>
      <c r="E1379" s="4">
        <v>2</v>
      </c>
      <c r="F1379" s="8">
        <v>1.85</v>
      </c>
      <c r="G1379" s="4">
        <v>1</v>
      </c>
      <c r="H1379" s="8">
        <v>1.27</v>
      </c>
      <c r="I1379" s="4">
        <v>0</v>
      </c>
    </row>
    <row r="1380" spans="1:9" x14ac:dyDescent="0.2">
      <c r="A1380" s="2">
        <v>12</v>
      </c>
      <c r="B1380" s="1" t="s">
        <v>170</v>
      </c>
      <c r="C1380" s="4">
        <v>3</v>
      </c>
      <c r="D1380" s="8">
        <v>1.6</v>
      </c>
      <c r="E1380" s="4">
        <v>3</v>
      </c>
      <c r="F1380" s="8">
        <v>2.78</v>
      </c>
      <c r="G1380" s="4">
        <v>0</v>
      </c>
      <c r="H1380" s="8">
        <v>0</v>
      </c>
      <c r="I1380" s="4">
        <v>0</v>
      </c>
    </row>
    <row r="1381" spans="1:9" x14ac:dyDescent="0.2">
      <c r="A1381" s="1"/>
      <c r="C1381" s="4"/>
      <c r="D1381" s="8"/>
      <c r="E1381" s="4"/>
      <c r="F1381" s="8"/>
      <c r="G1381" s="4"/>
      <c r="H1381" s="8"/>
      <c r="I1381" s="4"/>
    </row>
    <row r="1382" spans="1:9" x14ac:dyDescent="0.2">
      <c r="A1382" s="1" t="s">
        <v>58</v>
      </c>
      <c r="C1382" s="4"/>
      <c r="D1382" s="8"/>
      <c r="E1382" s="4"/>
      <c r="F1382" s="8"/>
      <c r="G1382" s="4"/>
      <c r="H1382" s="8"/>
      <c r="I1382" s="4"/>
    </row>
    <row r="1383" spans="1:9" x14ac:dyDescent="0.2">
      <c r="A1383" s="2">
        <v>1</v>
      </c>
      <c r="B1383" s="1" t="s">
        <v>161</v>
      </c>
      <c r="C1383" s="4">
        <v>14</v>
      </c>
      <c r="D1383" s="8">
        <v>4.49</v>
      </c>
      <c r="E1383" s="4">
        <v>8</v>
      </c>
      <c r="F1383" s="8">
        <v>4.5199999999999996</v>
      </c>
      <c r="G1383" s="4">
        <v>6</v>
      </c>
      <c r="H1383" s="8">
        <v>4.55</v>
      </c>
      <c r="I1383" s="4">
        <v>0</v>
      </c>
    </row>
    <row r="1384" spans="1:9" x14ac:dyDescent="0.2">
      <c r="A1384" s="2">
        <v>1</v>
      </c>
      <c r="B1384" s="1" t="s">
        <v>163</v>
      </c>
      <c r="C1384" s="4">
        <v>14</v>
      </c>
      <c r="D1384" s="8">
        <v>4.49</v>
      </c>
      <c r="E1384" s="4">
        <v>14</v>
      </c>
      <c r="F1384" s="8">
        <v>7.91</v>
      </c>
      <c r="G1384" s="4">
        <v>0</v>
      </c>
      <c r="H1384" s="8">
        <v>0</v>
      </c>
      <c r="I1384" s="4">
        <v>0</v>
      </c>
    </row>
    <row r="1385" spans="1:9" x14ac:dyDescent="0.2">
      <c r="A1385" s="2">
        <v>3</v>
      </c>
      <c r="B1385" s="1" t="s">
        <v>156</v>
      </c>
      <c r="C1385" s="4">
        <v>13</v>
      </c>
      <c r="D1385" s="8">
        <v>4.17</v>
      </c>
      <c r="E1385" s="4">
        <v>6</v>
      </c>
      <c r="F1385" s="8">
        <v>3.39</v>
      </c>
      <c r="G1385" s="4">
        <v>7</v>
      </c>
      <c r="H1385" s="8">
        <v>5.3</v>
      </c>
      <c r="I1385" s="4">
        <v>0</v>
      </c>
    </row>
    <row r="1386" spans="1:9" x14ac:dyDescent="0.2">
      <c r="A1386" s="2">
        <v>4</v>
      </c>
      <c r="B1386" s="1" t="s">
        <v>164</v>
      </c>
      <c r="C1386" s="4">
        <v>11</v>
      </c>
      <c r="D1386" s="8">
        <v>3.53</v>
      </c>
      <c r="E1386" s="4">
        <v>9</v>
      </c>
      <c r="F1386" s="8">
        <v>5.08</v>
      </c>
      <c r="G1386" s="4">
        <v>2</v>
      </c>
      <c r="H1386" s="8">
        <v>1.52</v>
      </c>
      <c r="I1386" s="4">
        <v>0</v>
      </c>
    </row>
    <row r="1387" spans="1:9" x14ac:dyDescent="0.2">
      <c r="A1387" s="2">
        <v>5</v>
      </c>
      <c r="B1387" s="1" t="s">
        <v>192</v>
      </c>
      <c r="C1387" s="4">
        <v>10</v>
      </c>
      <c r="D1387" s="8">
        <v>3.21</v>
      </c>
      <c r="E1387" s="4">
        <v>9</v>
      </c>
      <c r="F1387" s="8">
        <v>5.08</v>
      </c>
      <c r="G1387" s="4">
        <v>1</v>
      </c>
      <c r="H1387" s="8">
        <v>0.76</v>
      </c>
      <c r="I1387" s="4">
        <v>0</v>
      </c>
    </row>
    <row r="1388" spans="1:9" x14ac:dyDescent="0.2">
      <c r="A1388" s="2">
        <v>6</v>
      </c>
      <c r="B1388" s="1" t="s">
        <v>149</v>
      </c>
      <c r="C1388" s="4">
        <v>8</v>
      </c>
      <c r="D1388" s="8">
        <v>2.56</v>
      </c>
      <c r="E1388" s="4">
        <v>4</v>
      </c>
      <c r="F1388" s="8">
        <v>2.2599999999999998</v>
      </c>
      <c r="G1388" s="4">
        <v>4</v>
      </c>
      <c r="H1388" s="8">
        <v>3.03</v>
      </c>
      <c r="I1388" s="4">
        <v>0</v>
      </c>
    </row>
    <row r="1389" spans="1:9" x14ac:dyDescent="0.2">
      <c r="A1389" s="2">
        <v>6</v>
      </c>
      <c r="B1389" s="1" t="s">
        <v>167</v>
      </c>
      <c r="C1389" s="4">
        <v>8</v>
      </c>
      <c r="D1389" s="8">
        <v>2.56</v>
      </c>
      <c r="E1389" s="4">
        <v>5</v>
      </c>
      <c r="F1389" s="8">
        <v>2.82</v>
      </c>
      <c r="G1389" s="4">
        <v>3</v>
      </c>
      <c r="H1389" s="8">
        <v>2.27</v>
      </c>
      <c r="I1389" s="4">
        <v>0</v>
      </c>
    </row>
    <row r="1390" spans="1:9" x14ac:dyDescent="0.2">
      <c r="A1390" s="2">
        <v>8</v>
      </c>
      <c r="B1390" s="1" t="s">
        <v>209</v>
      </c>
      <c r="C1390" s="4">
        <v>7</v>
      </c>
      <c r="D1390" s="8">
        <v>2.2400000000000002</v>
      </c>
      <c r="E1390" s="4">
        <v>4</v>
      </c>
      <c r="F1390" s="8">
        <v>2.2599999999999998</v>
      </c>
      <c r="G1390" s="4">
        <v>3</v>
      </c>
      <c r="H1390" s="8">
        <v>2.27</v>
      </c>
      <c r="I1390" s="4">
        <v>0</v>
      </c>
    </row>
    <row r="1391" spans="1:9" x14ac:dyDescent="0.2">
      <c r="A1391" s="2">
        <v>8</v>
      </c>
      <c r="B1391" s="1" t="s">
        <v>152</v>
      </c>
      <c r="C1391" s="4">
        <v>7</v>
      </c>
      <c r="D1391" s="8">
        <v>2.2400000000000002</v>
      </c>
      <c r="E1391" s="4">
        <v>5</v>
      </c>
      <c r="F1391" s="8">
        <v>2.82</v>
      </c>
      <c r="G1391" s="4">
        <v>2</v>
      </c>
      <c r="H1391" s="8">
        <v>1.52</v>
      </c>
      <c r="I1391" s="4">
        <v>0</v>
      </c>
    </row>
    <row r="1392" spans="1:9" x14ac:dyDescent="0.2">
      <c r="A1392" s="2">
        <v>8</v>
      </c>
      <c r="B1392" s="1" t="s">
        <v>155</v>
      </c>
      <c r="C1392" s="4">
        <v>7</v>
      </c>
      <c r="D1392" s="8">
        <v>2.2400000000000002</v>
      </c>
      <c r="E1392" s="4">
        <v>3</v>
      </c>
      <c r="F1392" s="8">
        <v>1.69</v>
      </c>
      <c r="G1392" s="4">
        <v>4</v>
      </c>
      <c r="H1392" s="8">
        <v>3.03</v>
      </c>
      <c r="I1392" s="4">
        <v>0</v>
      </c>
    </row>
    <row r="1393" spans="1:9" x14ac:dyDescent="0.2">
      <c r="A1393" s="2">
        <v>8</v>
      </c>
      <c r="B1393" s="1" t="s">
        <v>191</v>
      </c>
      <c r="C1393" s="4">
        <v>7</v>
      </c>
      <c r="D1393" s="8">
        <v>2.2400000000000002</v>
      </c>
      <c r="E1393" s="4">
        <v>3</v>
      </c>
      <c r="F1393" s="8">
        <v>1.69</v>
      </c>
      <c r="G1393" s="4">
        <v>4</v>
      </c>
      <c r="H1393" s="8">
        <v>3.03</v>
      </c>
      <c r="I1393" s="4">
        <v>0</v>
      </c>
    </row>
    <row r="1394" spans="1:9" x14ac:dyDescent="0.2">
      <c r="A1394" s="2">
        <v>12</v>
      </c>
      <c r="B1394" s="1" t="s">
        <v>148</v>
      </c>
      <c r="C1394" s="4">
        <v>6</v>
      </c>
      <c r="D1394" s="8">
        <v>1.92</v>
      </c>
      <c r="E1394" s="4">
        <v>1</v>
      </c>
      <c r="F1394" s="8">
        <v>0.56000000000000005</v>
      </c>
      <c r="G1394" s="4">
        <v>5</v>
      </c>
      <c r="H1394" s="8">
        <v>3.79</v>
      </c>
      <c r="I1394" s="4">
        <v>0</v>
      </c>
    </row>
    <row r="1395" spans="1:9" x14ac:dyDescent="0.2">
      <c r="A1395" s="2">
        <v>12</v>
      </c>
      <c r="B1395" s="1" t="s">
        <v>235</v>
      </c>
      <c r="C1395" s="4">
        <v>6</v>
      </c>
      <c r="D1395" s="8">
        <v>1.92</v>
      </c>
      <c r="E1395" s="4">
        <v>1</v>
      </c>
      <c r="F1395" s="8">
        <v>0.56000000000000005</v>
      </c>
      <c r="G1395" s="4">
        <v>5</v>
      </c>
      <c r="H1395" s="8">
        <v>3.79</v>
      </c>
      <c r="I1395" s="4">
        <v>0</v>
      </c>
    </row>
    <row r="1396" spans="1:9" x14ac:dyDescent="0.2">
      <c r="A1396" s="2">
        <v>12</v>
      </c>
      <c r="B1396" s="1" t="s">
        <v>198</v>
      </c>
      <c r="C1396" s="4">
        <v>6</v>
      </c>
      <c r="D1396" s="8">
        <v>1.92</v>
      </c>
      <c r="E1396" s="4">
        <v>3</v>
      </c>
      <c r="F1396" s="8">
        <v>1.69</v>
      </c>
      <c r="G1396" s="4">
        <v>3</v>
      </c>
      <c r="H1396" s="8">
        <v>2.27</v>
      </c>
      <c r="I1396" s="4">
        <v>0</v>
      </c>
    </row>
    <row r="1397" spans="1:9" x14ac:dyDescent="0.2">
      <c r="A1397" s="2">
        <v>12</v>
      </c>
      <c r="B1397" s="1" t="s">
        <v>162</v>
      </c>
      <c r="C1397" s="4">
        <v>6</v>
      </c>
      <c r="D1397" s="8">
        <v>1.92</v>
      </c>
      <c r="E1397" s="4">
        <v>5</v>
      </c>
      <c r="F1397" s="8">
        <v>2.82</v>
      </c>
      <c r="G1397" s="4">
        <v>1</v>
      </c>
      <c r="H1397" s="8">
        <v>0.76</v>
      </c>
      <c r="I1397" s="4">
        <v>0</v>
      </c>
    </row>
    <row r="1398" spans="1:9" x14ac:dyDescent="0.2">
      <c r="A1398" s="2">
        <v>12</v>
      </c>
      <c r="B1398" s="1" t="s">
        <v>195</v>
      </c>
      <c r="C1398" s="4">
        <v>6</v>
      </c>
      <c r="D1398" s="8">
        <v>1.92</v>
      </c>
      <c r="E1398" s="4">
        <v>6</v>
      </c>
      <c r="F1398" s="8">
        <v>3.39</v>
      </c>
      <c r="G1398" s="4">
        <v>0</v>
      </c>
      <c r="H1398" s="8">
        <v>0</v>
      </c>
      <c r="I1398" s="4">
        <v>0</v>
      </c>
    </row>
    <row r="1399" spans="1:9" x14ac:dyDescent="0.2">
      <c r="A1399" s="2">
        <v>17</v>
      </c>
      <c r="B1399" s="1" t="s">
        <v>150</v>
      </c>
      <c r="C1399" s="4">
        <v>5</v>
      </c>
      <c r="D1399" s="8">
        <v>1.6</v>
      </c>
      <c r="E1399" s="4">
        <v>3</v>
      </c>
      <c r="F1399" s="8">
        <v>1.69</v>
      </c>
      <c r="G1399" s="4">
        <v>2</v>
      </c>
      <c r="H1399" s="8">
        <v>1.52</v>
      </c>
      <c r="I1399" s="4">
        <v>0</v>
      </c>
    </row>
    <row r="1400" spans="1:9" x14ac:dyDescent="0.2">
      <c r="A1400" s="2">
        <v>17</v>
      </c>
      <c r="B1400" s="1" t="s">
        <v>153</v>
      </c>
      <c r="C1400" s="4">
        <v>5</v>
      </c>
      <c r="D1400" s="8">
        <v>1.6</v>
      </c>
      <c r="E1400" s="4">
        <v>3</v>
      </c>
      <c r="F1400" s="8">
        <v>1.69</v>
      </c>
      <c r="G1400" s="4">
        <v>2</v>
      </c>
      <c r="H1400" s="8">
        <v>1.52</v>
      </c>
      <c r="I1400" s="4">
        <v>0</v>
      </c>
    </row>
    <row r="1401" spans="1:9" x14ac:dyDescent="0.2">
      <c r="A1401" s="2">
        <v>17</v>
      </c>
      <c r="B1401" s="1" t="s">
        <v>158</v>
      </c>
      <c r="C1401" s="4">
        <v>5</v>
      </c>
      <c r="D1401" s="8">
        <v>1.6</v>
      </c>
      <c r="E1401" s="4">
        <v>3</v>
      </c>
      <c r="F1401" s="8">
        <v>1.69</v>
      </c>
      <c r="G1401" s="4">
        <v>2</v>
      </c>
      <c r="H1401" s="8">
        <v>1.52</v>
      </c>
      <c r="I1401" s="4">
        <v>0</v>
      </c>
    </row>
    <row r="1402" spans="1:9" x14ac:dyDescent="0.2">
      <c r="A1402" s="2">
        <v>17</v>
      </c>
      <c r="B1402" s="1" t="s">
        <v>169</v>
      </c>
      <c r="C1402" s="4">
        <v>5</v>
      </c>
      <c r="D1402" s="8">
        <v>1.6</v>
      </c>
      <c r="E1402" s="4">
        <v>3</v>
      </c>
      <c r="F1402" s="8">
        <v>1.69</v>
      </c>
      <c r="G1402" s="4">
        <v>2</v>
      </c>
      <c r="H1402" s="8">
        <v>1.52</v>
      </c>
      <c r="I1402" s="4">
        <v>0</v>
      </c>
    </row>
    <row r="1403" spans="1:9" x14ac:dyDescent="0.2">
      <c r="A1403" s="1"/>
      <c r="C1403" s="4"/>
      <c r="D1403" s="8"/>
      <c r="E1403" s="4"/>
      <c r="F1403" s="8"/>
      <c r="G1403" s="4"/>
      <c r="H1403" s="8"/>
      <c r="I1403" s="4"/>
    </row>
    <row r="1404" spans="1:9" x14ac:dyDescent="0.2">
      <c r="A1404" s="1" t="s">
        <v>59</v>
      </c>
      <c r="C1404" s="4"/>
      <c r="D1404" s="8"/>
      <c r="E1404" s="4"/>
      <c r="F1404" s="8"/>
      <c r="G1404" s="4"/>
      <c r="H1404" s="8"/>
      <c r="I1404" s="4"/>
    </row>
    <row r="1405" spans="1:9" x14ac:dyDescent="0.2">
      <c r="A1405" s="2">
        <v>1</v>
      </c>
      <c r="B1405" s="1" t="s">
        <v>194</v>
      </c>
      <c r="C1405" s="4">
        <v>19</v>
      </c>
      <c r="D1405" s="8">
        <v>8.3699999999999992</v>
      </c>
      <c r="E1405" s="4">
        <v>16</v>
      </c>
      <c r="F1405" s="8">
        <v>11.27</v>
      </c>
      <c r="G1405" s="4">
        <v>3</v>
      </c>
      <c r="H1405" s="8">
        <v>3.7</v>
      </c>
      <c r="I1405" s="4">
        <v>0</v>
      </c>
    </row>
    <row r="1406" spans="1:9" x14ac:dyDescent="0.2">
      <c r="A1406" s="2">
        <v>2</v>
      </c>
      <c r="B1406" s="1" t="s">
        <v>161</v>
      </c>
      <c r="C1406" s="4">
        <v>12</v>
      </c>
      <c r="D1406" s="8">
        <v>5.29</v>
      </c>
      <c r="E1406" s="4">
        <v>10</v>
      </c>
      <c r="F1406" s="8">
        <v>7.04</v>
      </c>
      <c r="G1406" s="4">
        <v>2</v>
      </c>
      <c r="H1406" s="8">
        <v>2.4700000000000002</v>
      </c>
      <c r="I1406" s="4">
        <v>0</v>
      </c>
    </row>
    <row r="1407" spans="1:9" x14ac:dyDescent="0.2">
      <c r="A1407" s="2">
        <v>3</v>
      </c>
      <c r="B1407" s="1" t="s">
        <v>164</v>
      </c>
      <c r="C1407" s="4">
        <v>11</v>
      </c>
      <c r="D1407" s="8">
        <v>4.8499999999999996</v>
      </c>
      <c r="E1407" s="4">
        <v>11</v>
      </c>
      <c r="F1407" s="8">
        <v>7.75</v>
      </c>
      <c r="G1407" s="4">
        <v>0</v>
      </c>
      <c r="H1407" s="8">
        <v>0</v>
      </c>
      <c r="I1407" s="4">
        <v>0</v>
      </c>
    </row>
    <row r="1408" spans="1:9" x14ac:dyDescent="0.2">
      <c r="A1408" s="2">
        <v>4</v>
      </c>
      <c r="B1408" s="1" t="s">
        <v>163</v>
      </c>
      <c r="C1408" s="4">
        <v>10</v>
      </c>
      <c r="D1408" s="8">
        <v>4.41</v>
      </c>
      <c r="E1408" s="4">
        <v>10</v>
      </c>
      <c r="F1408" s="8">
        <v>7.04</v>
      </c>
      <c r="G1408" s="4">
        <v>0</v>
      </c>
      <c r="H1408" s="8">
        <v>0</v>
      </c>
      <c r="I1408" s="4">
        <v>0</v>
      </c>
    </row>
    <row r="1409" spans="1:9" x14ac:dyDescent="0.2">
      <c r="A1409" s="2">
        <v>5</v>
      </c>
      <c r="B1409" s="1" t="s">
        <v>158</v>
      </c>
      <c r="C1409" s="4">
        <v>6</v>
      </c>
      <c r="D1409" s="8">
        <v>2.64</v>
      </c>
      <c r="E1409" s="4">
        <v>3</v>
      </c>
      <c r="F1409" s="8">
        <v>2.11</v>
      </c>
      <c r="G1409" s="4">
        <v>3</v>
      </c>
      <c r="H1409" s="8">
        <v>3.7</v>
      </c>
      <c r="I1409" s="4">
        <v>0</v>
      </c>
    </row>
    <row r="1410" spans="1:9" x14ac:dyDescent="0.2">
      <c r="A1410" s="2">
        <v>5</v>
      </c>
      <c r="B1410" s="1" t="s">
        <v>200</v>
      </c>
      <c r="C1410" s="4">
        <v>6</v>
      </c>
      <c r="D1410" s="8">
        <v>2.64</v>
      </c>
      <c r="E1410" s="4">
        <v>6</v>
      </c>
      <c r="F1410" s="8">
        <v>4.2300000000000004</v>
      </c>
      <c r="G1410" s="4">
        <v>0</v>
      </c>
      <c r="H1410" s="8">
        <v>0</v>
      </c>
      <c r="I1410" s="4">
        <v>0</v>
      </c>
    </row>
    <row r="1411" spans="1:9" x14ac:dyDescent="0.2">
      <c r="A1411" s="2">
        <v>7</v>
      </c>
      <c r="B1411" s="1" t="s">
        <v>150</v>
      </c>
      <c r="C1411" s="4">
        <v>5</v>
      </c>
      <c r="D1411" s="8">
        <v>2.2000000000000002</v>
      </c>
      <c r="E1411" s="4">
        <v>3</v>
      </c>
      <c r="F1411" s="8">
        <v>2.11</v>
      </c>
      <c r="G1411" s="4">
        <v>2</v>
      </c>
      <c r="H1411" s="8">
        <v>2.4700000000000002</v>
      </c>
      <c r="I1411" s="4">
        <v>0</v>
      </c>
    </row>
    <row r="1412" spans="1:9" x14ac:dyDescent="0.2">
      <c r="A1412" s="2">
        <v>7</v>
      </c>
      <c r="B1412" s="1" t="s">
        <v>202</v>
      </c>
      <c r="C1412" s="4">
        <v>5</v>
      </c>
      <c r="D1412" s="8">
        <v>2.2000000000000002</v>
      </c>
      <c r="E1412" s="4">
        <v>5</v>
      </c>
      <c r="F1412" s="8">
        <v>3.52</v>
      </c>
      <c r="G1412" s="4">
        <v>0</v>
      </c>
      <c r="H1412" s="8">
        <v>0</v>
      </c>
      <c r="I1412" s="4">
        <v>0</v>
      </c>
    </row>
    <row r="1413" spans="1:9" x14ac:dyDescent="0.2">
      <c r="A1413" s="2">
        <v>9</v>
      </c>
      <c r="B1413" s="1" t="s">
        <v>148</v>
      </c>
      <c r="C1413" s="4">
        <v>4</v>
      </c>
      <c r="D1413" s="8">
        <v>1.76</v>
      </c>
      <c r="E1413" s="4">
        <v>1</v>
      </c>
      <c r="F1413" s="8">
        <v>0.7</v>
      </c>
      <c r="G1413" s="4">
        <v>3</v>
      </c>
      <c r="H1413" s="8">
        <v>3.7</v>
      </c>
      <c r="I1413" s="4">
        <v>0</v>
      </c>
    </row>
    <row r="1414" spans="1:9" x14ac:dyDescent="0.2">
      <c r="A1414" s="2">
        <v>9</v>
      </c>
      <c r="B1414" s="1" t="s">
        <v>183</v>
      </c>
      <c r="C1414" s="4">
        <v>4</v>
      </c>
      <c r="D1414" s="8">
        <v>1.76</v>
      </c>
      <c r="E1414" s="4">
        <v>2</v>
      </c>
      <c r="F1414" s="8">
        <v>1.41</v>
      </c>
      <c r="G1414" s="4">
        <v>2</v>
      </c>
      <c r="H1414" s="8">
        <v>2.4700000000000002</v>
      </c>
      <c r="I1414" s="4">
        <v>0</v>
      </c>
    </row>
    <row r="1415" spans="1:9" x14ac:dyDescent="0.2">
      <c r="A1415" s="2">
        <v>9</v>
      </c>
      <c r="B1415" s="1" t="s">
        <v>198</v>
      </c>
      <c r="C1415" s="4">
        <v>4</v>
      </c>
      <c r="D1415" s="8">
        <v>1.76</v>
      </c>
      <c r="E1415" s="4">
        <v>4</v>
      </c>
      <c r="F1415" s="8">
        <v>2.82</v>
      </c>
      <c r="G1415" s="4">
        <v>0</v>
      </c>
      <c r="H1415" s="8">
        <v>0</v>
      </c>
      <c r="I1415" s="4">
        <v>0</v>
      </c>
    </row>
    <row r="1416" spans="1:9" x14ac:dyDescent="0.2">
      <c r="A1416" s="2">
        <v>9</v>
      </c>
      <c r="B1416" s="1" t="s">
        <v>155</v>
      </c>
      <c r="C1416" s="4">
        <v>4</v>
      </c>
      <c r="D1416" s="8">
        <v>1.76</v>
      </c>
      <c r="E1416" s="4">
        <v>1</v>
      </c>
      <c r="F1416" s="8">
        <v>0.7</v>
      </c>
      <c r="G1416" s="4">
        <v>3</v>
      </c>
      <c r="H1416" s="8">
        <v>3.7</v>
      </c>
      <c r="I1416" s="4">
        <v>0</v>
      </c>
    </row>
    <row r="1417" spans="1:9" x14ac:dyDescent="0.2">
      <c r="A1417" s="2">
        <v>9</v>
      </c>
      <c r="B1417" s="1" t="s">
        <v>204</v>
      </c>
      <c r="C1417" s="4">
        <v>4</v>
      </c>
      <c r="D1417" s="8">
        <v>1.76</v>
      </c>
      <c r="E1417" s="4">
        <v>2</v>
      </c>
      <c r="F1417" s="8">
        <v>1.41</v>
      </c>
      <c r="G1417" s="4">
        <v>2</v>
      </c>
      <c r="H1417" s="8">
        <v>2.4700000000000002</v>
      </c>
      <c r="I1417" s="4">
        <v>0</v>
      </c>
    </row>
    <row r="1418" spans="1:9" x14ac:dyDescent="0.2">
      <c r="A1418" s="2">
        <v>9</v>
      </c>
      <c r="B1418" s="1" t="s">
        <v>195</v>
      </c>
      <c r="C1418" s="4">
        <v>4</v>
      </c>
      <c r="D1418" s="8">
        <v>1.76</v>
      </c>
      <c r="E1418" s="4">
        <v>3</v>
      </c>
      <c r="F1418" s="8">
        <v>2.11</v>
      </c>
      <c r="G1418" s="4">
        <v>1</v>
      </c>
      <c r="H1418" s="8">
        <v>1.23</v>
      </c>
      <c r="I1418" s="4">
        <v>0</v>
      </c>
    </row>
    <row r="1419" spans="1:9" x14ac:dyDescent="0.2">
      <c r="A1419" s="2">
        <v>9</v>
      </c>
      <c r="B1419" s="1" t="s">
        <v>167</v>
      </c>
      <c r="C1419" s="4">
        <v>4</v>
      </c>
      <c r="D1419" s="8">
        <v>1.76</v>
      </c>
      <c r="E1419" s="4">
        <v>3</v>
      </c>
      <c r="F1419" s="8">
        <v>2.11</v>
      </c>
      <c r="G1419" s="4">
        <v>1</v>
      </c>
      <c r="H1419" s="8">
        <v>1.23</v>
      </c>
      <c r="I1419" s="4">
        <v>0</v>
      </c>
    </row>
    <row r="1420" spans="1:9" x14ac:dyDescent="0.2">
      <c r="A1420" s="2">
        <v>16</v>
      </c>
      <c r="B1420" s="1" t="s">
        <v>149</v>
      </c>
      <c r="C1420" s="4">
        <v>3</v>
      </c>
      <c r="D1420" s="8">
        <v>1.32</v>
      </c>
      <c r="E1420" s="4">
        <v>0</v>
      </c>
      <c r="F1420" s="8">
        <v>0</v>
      </c>
      <c r="G1420" s="4">
        <v>3</v>
      </c>
      <c r="H1420" s="8">
        <v>3.7</v>
      </c>
      <c r="I1420" s="4">
        <v>0</v>
      </c>
    </row>
    <row r="1421" spans="1:9" x14ac:dyDescent="0.2">
      <c r="A1421" s="2">
        <v>16</v>
      </c>
      <c r="B1421" s="1" t="s">
        <v>151</v>
      </c>
      <c r="C1421" s="4">
        <v>3</v>
      </c>
      <c r="D1421" s="8">
        <v>1.32</v>
      </c>
      <c r="E1421" s="4">
        <v>1</v>
      </c>
      <c r="F1421" s="8">
        <v>0.7</v>
      </c>
      <c r="G1421" s="4">
        <v>2</v>
      </c>
      <c r="H1421" s="8">
        <v>2.4700000000000002</v>
      </c>
      <c r="I1421" s="4">
        <v>0</v>
      </c>
    </row>
    <row r="1422" spans="1:9" x14ac:dyDescent="0.2">
      <c r="A1422" s="2">
        <v>16</v>
      </c>
      <c r="B1422" s="1" t="s">
        <v>152</v>
      </c>
      <c r="C1422" s="4">
        <v>3</v>
      </c>
      <c r="D1422" s="8">
        <v>1.32</v>
      </c>
      <c r="E1422" s="4">
        <v>3</v>
      </c>
      <c r="F1422" s="8">
        <v>2.11</v>
      </c>
      <c r="G1422" s="4">
        <v>0</v>
      </c>
      <c r="H1422" s="8">
        <v>0</v>
      </c>
      <c r="I1422" s="4">
        <v>0</v>
      </c>
    </row>
    <row r="1423" spans="1:9" x14ac:dyDescent="0.2">
      <c r="A1423" s="2">
        <v>16</v>
      </c>
      <c r="B1423" s="1" t="s">
        <v>153</v>
      </c>
      <c r="C1423" s="4">
        <v>3</v>
      </c>
      <c r="D1423" s="8">
        <v>1.32</v>
      </c>
      <c r="E1423" s="4">
        <v>0</v>
      </c>
      <c r="F1423" s="8">
        <v>0</v>
      </c>
      <c r="G1423" s="4">
        <v>3</v>
      </c>
      <c r="H1423" s="8">
        <v>3.7</v>
      </c>
      <c r="I1423" s="4">
        <v>0</v>
      </c>
    </row>
    <row r="1424" spans="1:9" x14ac:dyDescent="0.2">
      <c r="A1424" s="2">
        <v>16</v>
      </c>
      <c r="B1424" s="1" t="s">
        <v>189</v>
      </c>
      <c r="C1424" s="4">
        <v>3</v>
      </c>
      <c r="D1424" s="8">
        <v>1.32</v>
      </c>
      <c r="E1424" s="4">
        <v>2</v>
      </c>
      <c r="F1424" s="8">
        <v>1.41</v>
      </c>
      <c r="G1424" s="4">
        <v>1</v>
      </c>
      <c r="H1424" s="8">
        <v>1.23</v>
      </c>
      <c r="I1424" s="4">
        <v>0</v>
      </c>
    </row>
    <row r="1425" spans="1:9" x14ac:dyDescent="0.2">
      <c r="A1425" s="2">
        <v>16</v>
      </c>
      <c r="B1425" s="1" t="s">
        <v>154</v>
      </c>
      <c r="C1425" s="4">
        <v>3</v>
      </c>
      <c r="D1425" s="8">
        <v>1.32</v>
      </c>
      <c r="E1425" s="4">
        <v>2</v>
      </c>
      <c r="F1425" s="8">
        <v>1.41</v>
      </c>
      <c r="G1425" s="4">
        <v>1</v>
      </c>
      <c r="H1425" s="8">
        <v>1.23</v>
      </c>
      <c r="I1425" s="4">
        <v>0</v>
      </c>
    </row>
    <row r="1426" spans="1:9" x14ac:dyDescent="0.2">
      <c r="A1426" s="2">
        <v>16</v>
      </c>
      <c r="B1426" s="1" t="s">
        <v>191</v>
      </c>
      <c r="C1426" s="4">
        <v>3</v>
      </c>
      <c r="D1426" s="8">
        <v>1.32</v>
      </c>
      <c r="E1426" s="4">
        <v>0</v>
      </c>
      <c r="F1426" s="8">
        <v>0</v>
      </c>
      <c r="G1426" s="4">
        <v>3</v>
      </c>
      <c r="H1426" s="8">
        <v>3.7</v>
      </c>
      <c r="I1426" s="4">
        <v>0</v>
      </c>
    </row>
    <row r="1427" spans="1:9" x14ac:dyDescent="0.2">
      <c r="A1427" s="2">
        <v>16</v>
      </c>
      <c r="B1427" s="1" t="s">
        <v>159</v>
      </c>
      <c r="C1427" s="4">
        <v>3</v>
      </c>
      <c r="D1427" s="8">
        <v>1.32</v>
      </c>
      <c r="E1427" s="4">
        <v>0</v>
      </c>
      <c r="F1427" s="8">
        <v>0</v>
      </c>
      <c r="G1427" s="4">
        <v>3</v>
      </c>
      <c r="H1427" s="8">
        <v>3.7</v>
      </c>
      <c r="I1427" s="4">
        <v>0</v>
      </c>
    </row>
    <row r="1428" spans="1:9" x14ac:dyDescent="0.2">
      <c r="A1428" s="2">
        <v>16</v>
      </c>
      <c r="B1428" s="1" t="s">
        <v>242</v>
      </c>
      <c r="C1428" s="4">
        <v>3</v>
      </c>
      <c r="D1428" s="8">
        <v>1.32</v>
      </c>
      <c r="E1428" s="4">
        <v>0</v>
      </c>
      <c r="F1428" s="8">
        <v>0</v>
      </c>
      <c r="G1428" s="4">
        <v>3</v>
      </c>
      <c r="H1428" s="8">
        <v>3.7</v>
      </c>
      <c r="I1428" s="4">
        <v>0</v>
      </c>
    </row>
    <row r="1429" spans="1:9" x14ac:dyDescent="0.2">
      <c r="A1429" s="2">
        <v>16</v>
      </c>
      <c r="B1429" s="1" t="s">
        <v>192</v>
      </c>
      <c r="C1429" s="4">
        <v>3</v>
      </c>
      <c r="D1429" s="8">
        <v>1.32</v>
      </c>
      <c r="E1429" s="4">
        <v>2</v>
      </c>
      <c r="F1429" s="8">
        <v>1.41</v>
      </c>
      <c r="G1429" s="4">
        <v>1</v>
      </c>
      <c r="H1429" s="8">
        <v>1.23</v>
      </c>
      <c r="I1429" s="4">
        <v>0</v>
      </c>
    </row>
    <row r="1430" spans="1:9" x14ac:dyDescent="0.2">
      <c r="A1430" s="2">
        <v>16</v>
      </c>
      <c r="B1430" s="1" t="s">
        <v>243</v>
      </c>
      <c r="C1430" s="4">
        <v>3</v>
      </c>
      <c r="D1430" s="8">
        <v>1.32</v>
      </c>
      <c r="E1430" s="4">
        <v>3</v>
      </c>
      <c r="F1430" s="8">
        <v>2.11</v>
      </c>
      <c r="G1430" s="4">
        <v>0</v>
      </c>
      <c r="H1430" s="8">
        <v>0</v>
      </c>
      <c r="I1430" s="4">
        <v>0</v>
      </c>
    </row>
    <row r="1431" spans="1:9" x14ac:dyDescent="0.2">
      <c r="A1431" s="2">
        <v>16</v>
      </c>
      <c r="B1431" s="1" t="s">
        <v>169</v>
      </c>
      <c r="C1431" s="4">
        <v>3</v>
      </c>
      <c r="D1431" s="8">
        <v>1.32</v>
      </c>
      <c r="E1431" s="4">
        <v>3</v>
      </c>
      <c r="F1431" s="8">
        <v>2.11</v>
      </c>
      <c r="G1431" s="4">
        <v>0</v>
      </c>
      <c r="H1431" s="8">
        <v>0</v>
      </c>
      <c r="I1431" s="4">
        <v>0</v>
      </c>
    </row>
    <row r="1432" spans="1:9" x14ac:dyDescent="0.2">
      <c r="A1432" s="2">
        <v>16</v>
      </c>
      <c r="B1432" s="1" t="s">
        <v>165</v>
      </c>
      <c r="C1432" s="4">
        <v>3</v>
      </c>
      <c r="D1432" s="8">
        <v>1.32</v>
      </c>
      <c r="E1432" s="4">
        <v>2</v>
      </c>
      <c r="F1432" s="8">
        <v>1.41</v>
      </c>
      <c r="G1432" s="4">
        <v>1</v>
      </c>
      <c r="H1432" s="8">
        <v>1.23</v>
      </c>
      <c r="I1432" s="4">
        <v>0</v>
      </c>
    </row>
    <row r="1433" spans="1:9" x14ac:dyDescent="0.2">
      <c r="A1433" s="2">
        <v>16</v>
      </c>
      <c r="B1433" s="1" t="s">
        <v>170</v>
      </c>
      <c r="C1433" s="4">
        <v>3</v>
      </c>
      <c r="D1433" s="8">
        <v>1.32</v>
      </c>
      <c r="E1433" s="4">
        <v>3</v>
      </c>
      <c r="F1433" s="8">
        <v>2.11</v>
      </c>
      <c r="G1433" s="4">
        <v>0</v>
      </c>
      <c r="H1433" s="8">
        <v>0</v>
      </c>
      <c r="I1433" s="4">
        <v>0</v>
      </c>
    </row>
    <row r="1434" spans="1:9" x14ac:dyDescent="0.2">
      <c r="A1434" s="2">
        <v>16</v>
      </c>
      <c r="B1434" s="1" t="s">
        <v>166</v>
      </c>
      <c r="C1434" s="4">
        <v>3</v>
      </c>
      <c r="D1434" s="8">
        <v>1.32</v>
      </c>
      <c r="E1434" s="4">
        <v>3</v>
      </c>
      <c r="F1434" s="8">
        <v>2.11</v>
      </c>
      <c r="G1434" s="4">
        <v>0</v>
      </c>
      <c r="H1434" s="8">
        <v>0</v>
      </c>
      <c r="I1434" s="4">
        <v>0</v>
      </c>
    </row>
    <row r="1435" spans="1:9" x14ac:dyDescent="0.2">
      <c r="A1435" s="1"/>
      <c r="C1435" s="4"/>
      <c r="D1435" s="8"/>
      <c r="E1435" s="4"/>
      <c r="F1435" s="8"/>
      <c r="G1435" s="4"/>
      <c r="H1435" s="8"/>
      <c r="I1435" s="4"/>
    </row>
    <row r="1436" spans="1:9" x14ac:dyDescent="0.2">
      <c r="A1436" s="1" t="s">
        <v>60</v>
      </c>
      <c r="C1436" s="4"/>
      <c r="D1436" s="8"/>
      <c r="E1436" s="4"/>
      <c r="F1436" s="8"/>
      <c r="G1436" s="4"/>
      <c r="H1436" s="8"/>
      <c r="I1436" s="4"/>
    </row>
    <row r="1437" spans="1:9" x14ac:dyDescent="0.2">
      <c r="A1437" s="2">
        <v>1</v>
      </c>
      <c r="B1437" s="1" t="s">
        <v>161</v>
      </c>
      <c r="C1437" s="4">
        <v>14</v>
      </c>
      <c r="D1437" s="8">
        <v>5.88</v>
      </c>
      <c r="E1437" s="4">
        <v>11</v>
      </c>
      <c r="F1437" s="8">
        <v>7.38</v>
      </c>
      <c r="G1437" s="4">
        <v>3</v>
      </c>
      <c r="H1437" s="8">
        <v>3.61</v>
      </c>
      <c r="I1437" s="4">
        <v>0</v>
      </c>
    </row>
    <row r="1438" spans="1:9" x14ac:dyDescent="0.2">
      <c r="A1438" s="2">
        <v>1</v>
      </c>
      <c r="B1438" s="1" t="s">
        <v>164</v>
      </c>
      <c r="C1438" s="4">
        <v>14</v>
      </c>
      <c r="D1438" s="8">
        <v>5.88</v>
      </c>
      <c r="E1438" s="4">
        <v>13</v>
      </c>
      <c r="F1438" s="8">
        <v>8.7200000000000006</v>
      </c>
      <c r="G1438" s="4">
        <v>1</v>
      </c>
      <c r="H1438" s="8">
        <v>1.2</v>
      </c>
      <c r="I1438" s="4">
        <v>0</v>
      </c>
    </row>
    <row r="1439" spans="1:9" x14ac:dyDescent="0.2">
      <c r="A1439" s="2">
        <v>3</v>
      </c>
      <c r="B1439" s="1" t="s">
        <v>163</v>
      </c>
      <c r="C1439" s="4">
        <v>9</v>
      </c>
      <c r="D1439" s="8">
        <v>3.78</v>
      </c>
      <c r="E1439" s="4">
        <v>9</v>
      </c>
      <c r="F1439" s="8">
        <v>6.04</v>
      </c>
      <c r="G1439" s="4">
        <v>0</v>
      </c>
      <c r="H1439" s="8">
        <v>0</v>
      </c>
      <c r="I1439" s="4">
        <v>0</v>
      </c>
    </row>
    <row r="1440" spans="1:9" x14ac:dyDescent="0.2">
      <c r="A1440" s="2">
        <v>4</v>
      </c>
      <c r="B1440" s="1" t="s">
        <v>150</v>
      </c>
      <c r="C1440" s="4">
        <v>8</v>
      </c>
      <c r="D1440" s="8">
        <v>3.36</v>
      </c>
      <c r="E1440" s="4">
        <v>4</v>
      </c>
      <c r="F1440" s="8">
        <v>2.68</v>
      </c>
      <c r="G1440" s="4">
        <v>4</v>
      </c>
      <c r="H1440" s="8">
        <v>4.82</v>
      </c>
      <c r="I1440" s="4">
        <v>0</v>
      </c>
    </row>
    <row r="1441" spans="1:9" x14ac:dyDescent="0.2">
      <c r="A1441" s="2">
        <v>4</v>
      </c>
      <c r="B1441" s="1" t="s">
        <v>190</v>
      </c>
      <c r="C1441" s="4">
        <v>8</v>
      </c>
      <c r="D1441" s="8">
        <v>3.36</v>
      </c>
      <c r="E1441" s="4">
        <v>7</v>
      </c>
      <c r="F1441" s="8">
        <v>4.7</v>
      </c>
      <c r="G1441" s="4">
        <v>1</v>
      </c>
      <c r="H1441" s="8">
        <v>1.2</v>
      </c>
      <c r="I1441" s="4">
        <v>0</v>
      </c>
    </row>
    <row r="1442" spans="1:9" x14ac:dyDescent="0.2">
      <c r="A1442" s="2">
        <v>4</v>
      </c>
      <c r="B1442" s="1" t="s">
        <v>154</v>
      </c>
      <c r="C1442" s="4">
        <v>8</v>
      </c>
      <c r="D1442" s="8">
        <v>3.36</v>
      </c>
      <c r="E1442" s="4">
        <v>6</v>
      </c>
      <c r="F1442" s="8">
        <v>4.03</v>
      </c>
      <c r="G1442" s="4">
        <v>2</v>
      </c>
      <c r="H1442" s="8">
        <v>2.41</v>
      </c>
      <c r="I1442" s="4">
        <v>0</v>
      </c>
    </row>
    <row r="1443" spans="1:9" x14ac:dyDescent="0.2">
      <c r="A1443" s="2">
        <v>4</v>
      </c>
      <c r="B1443" s="1" t="s">
        <v>195</v>
      </c>
      <c r="C1443" s="4">
        <v>8</v>
      </c>
      <c r="D1443" s="8">
        <v>3.36</v>
      </c>
      <c r="E1443" s="4">
        <v>8</v>
      </c>
      <c r="F1443" s="8">
        <v>5.37</v>
      </c>
      <c r="G1443" s="4">
        <v>0</v>
      </c>
      <c r="H1443" s="8">
        <v>0</v>
      </c>
      <c r="I1443" s="4">
        <v>0</v>
      </c>
    </row>
    <row r="1444" spans="1:9" x14ac:dyDescent="0.2">
      <c r="A1444" s="2">
        <v>8</v>
      </c>
      <c r="B1444" s="1" t="s">
        <v>198</v>
      </c>
      <c r="C1444" s="4">
        <v>6</v>
      </c>
      <c r="D1444" s="8">
        <v>2.52</v>
      </c>
      <c r="E1444" s="4">
        <v>6</v>
      </c>
      <c r="F1444" s="8">
        <v>4.03</v>
      </c>
      <c r="G1444" s="4">
        <v>0</v>
      </c>
      <c r="H1444" s="8">
        <v>0</v>
      </c>
      <c r="I1444" s="4">
        <v>0</v>
      </c>
    </row>
    <row r="1445" spans="1:9" x14ac:dyDescent="0.2">
      <c r="A1445" s="2">
        <v>9</v>
      </c>
      <c r="B1445" s="1" t="s">
        <v>196</v>
      </c>
      <c r="C1445" s="4">
        <v>5</v>
      </c>
      <c r="D1445" s="8">
        <v>2.1</v>
      </c>
      <c r="E1445" s="4">
        <v>1</v>
      </c>
      <c r="F1445" s="8">
        <v>0.67</v>
      </c>
      <c r="G1445" s="4">
        <v>4</v>
      </c>
      <c r="H1445" s="8">
        <v>4.82</v>
      </c>
      <c r="I1445" s="4">
        <v>0</v>
      </c>
    </row>
    <row r="1446" spans="1:9" x14ac:dyDescent="0.2">
      <c r="A1446" s="2">
        <v>9</v>
      </c>
      <c r="B1446" s="1" t="s">
        <v>183</v>
      </c>
      <c r="C1446" s="4">
        <v>5</v>
      </c>
      <c r="D1446" s="8">
        <v>2.1</v>
      </c>
      <c r="E1446" s="4">
        <v>0</v>
      </c>
      <c r="F1446" s="8">
        <v>0</v>
      </c>
      <c r="G1446" s="4">
        <v>5</v>
      </c>
      <c r="H1446" s="8">
        <v>6.02</v>
      </c>
      <c r="I1446" s="4">
        <v>0</v>
      </c>
    </row>
    <row r="1447" spans="1:9" x14ac:dyDescent="0.2">
      <c r="A1447" s="2">
        <v>9</v>
      </c>
      <c r="B1447" s="1" t="s">
        <v>188</v>
      </c>
      <c r="C1447" s="4">
        <v>5</v>
      </c>
      <c r="D1447" s="8">
        <v>2.1</v>
      </c>
      <c r="E1447" s="4">
        <v>1</v>
      </c>
      <c r="F1447" s="8">
        <v>0.67</v>
      </c>
      <c r="G1447" s="4">
        <v>4</v>
      </c>
      <c r="H1447" s="8">
        <v>4.82</v>
      </c>
      <c r="I1447" s="4">
        <v>0</v>
      </c>
    </row>
    <row r="1448" spans="1:9" x14ac:dyDescent="0.2">
      <c r="A1448" s="2">
        <v>9</v>
      </c>
      <c r="B1448" s="1" t="s">
        <v>156</v>
      </c>
      <c r="C1448" s="4">
        <v>5</v>
      </c>
      <c r="D1448" s="8">
        <v>2.1</v>
      </c>
      <c r="E1448" s="4">
        <v>5</v>
      </c>
      <c r="F1448" s="8">
        <v>3.36</v>
      </c>
      <c r="G1448" s="4">
        <v>0</v>
      </c>
      <c r="H1448" s="8">
        <v>0</v>
      </c>
      <c r="I1448" s="4">
        <v>0</v>
      </c>
    </row>
    <row r="1449" spans="1:9" x14ac:dyDescent="0.2">
      <c r="A1449" s="2">
        <v>9</v>
      </c>
      <c r="B1449" s="1" t="s">
        <v>194</v>
      </c>
      <c r="C1449" s="4">
        <v>5</v>
      </c>
      <c r="D1449" s="8">
        <v>2.1</v>
      </c>
      <c r="E1449" s="4">
        <v>5</v>
      </c>
      <c r="F1449" s="8">
        <v>3.36</v>
      </c>
      <c r="G1449" s="4">
        <v>0</v>
      </c>
      <c r="H1449" s="8">
        <v>0</v>
      </c>
      <c r="I1449" s="4">
        <v>0</v>
      </c>
    </row>
    <row r="1450" spans="1:9" x14ac:dyDescent="0.2">
      <c r="A1450" s="2">
        <v>9</v>
      </c>
      <c r="B1450" s="1" t="s">
        <v>181</v>
      </c>
      <c r="C1450" s="4">
        <v>5</v>
      </c>
      <c r="D1450" s="8">
        <v>2.1</v>
      </c>
      <c r="E1450" s="4">
        <v>0</v>
      </c>
      <c r="F1450" s="8">
        <v>0</v>
      </c>
      <c r="G1450" s="4">
        <v>5</v>
      </c>
      <c r="H1450" s="8">
        <v>6.02</v>
      </c>
      <c r="I1450" s="4">
        <v>0</v>
      </c>
    </row>
    <row r="1451" spans="1:9" x14ac:dyDescent="0.2">
      <c r="A1451" s="2">
        <v>9</v>
      </c>
      <c r="B1451" s="1" t="s">
        <v>167</v>
      </c>
      <c r="C1451" s="4">
        <v>5</v>
      </c>
      <c r="D1451" s="8">
        <v>2.1</v>
      </c>
      <c r="E1451" s="4">
        <v>3</v>
      </c>
      <c r="F1451" s="8">
        <v>2.0099999999999998</v>
      </c>
      <c r="G1451" s="4">
        <v>2</v>
      </c>
      <c r="H1451" s="8">
        <v>2.41</v>
      </c>
      <c r="I1451" s="4">
        <v>0</v>
      </c>
    </row>
    <row r="1452" spans="1:9" x14ac:dyDescent="0.2">
      <c r="A1452" s="2">
        <v>16</v>
      </c>
      <c r="B1452" s="1" t="s">
        <v>149</v>
      </c>
      <c r="C1452" s="4">
        <v>4</v>
      </c>
      <c r="D1452" s="8">
        <v>1.68</v>
      </c>
      <c r="E1452" s="4">
        <v>1</v>
      </c>
      <c r="F1452" s="8">
        <v>0.67</v>
      </c>
      <c r="G1452" s="4">
        <v>3</v>
      </c>
      <c r="H1452" s="8">
        <v>3.61</v>
      </c>
      <c r="I1452" s="4">
        <v>0</v>
      </c>
    </row>
    <row r="1453" spans="1:9" x14ac:dyDescent="0.2">
      <c r="A1453" s="2">
        <v>16</v>
      </c>
      <c r="B1453" s="1" t="s">
        <v>209</v>
      </c>
      <c r="C1453" s="4">
        <v>4</v>
      </c>
      <c r="D1453" s="8">
        <v>1.68</v>
      </c>
      <c r="E1453" s="4">
        <v>4</v>
      </c>
      <c r="F1453" s="8">
        <v>2.68</v>
      </c>
      <c r="G1453" s="4">
        <v>0</v>
      </c>
      <c r="H1453" s="8">
        <v>0</v>
      </c>
      <c r="I1453" s="4">
        <v>0</v>
      </c>
    </row>
    <row r="1454" spans="1:9" x14ac:dyDescent="0.2">
      <c r="A1454" s="2">
        <v>16</v>
      </c>
      <c r="B1454" s="1" t="s">
        <v>177</v>
      </c>
      <c r="C1454" s="4">
        <v>4</v>
      </c>
      <c r="D1454" s="8">
        <v>1.68</v>
      </c>
      <c r="E1454" s="4">
        <v>1</v>
      </c>
      <c r="F1454" s="8">
        <v>0.67</v>
      </c>
      <c r="G1454" s="4">
        <v>3</v>
      </c>
      <c r="H1454" s="8">
        <v>3.61</v>
      </c>
      <c r="I1454" s="4">
        <v>0</v>
      </c>
    </row>
    <row r="1455" spans="1:9" x14ac:dyDescent="0.2">
      <c r="A1455" s="2">
        <v>16</v>
      </c>
      <c r="B1455" s="1" t="s">
        <v>232</v>
      </c>
      <c r="C1455" s="4">
        <v>4</v>
      </c>
      <c r="D1455" s="8">
        <v>1.68</v>
      </c>
      <c r="E1455" s="4">
        <v>2</v>
      </c>
      <c r="F1455" s="8">
        <v>1.34</v>
      </c>
      <c r="G1455" s="4">
        <v>2</v>
      </c>
      <c r="H1455" s="8">
        <v>2.41</v>
      </c>
      <c r="I1455" s="4">
        <v>0</v>
      </c>
    </row>
    <row r="1456" spans="1:9" x14ac:dyDescent="0.2">
      <c r="A1456" s="2">
        <v>16</v>
      </c>
      <c r="B1456" s="1" t="s">
        <v>244</v>
      </c>
      <c r="C1456" s="4">
        <v>4</v>
      </c>
      <c r="D1456" s="8">
        <v>1.68</v>
      </c>
      <c r="E1456" s="4">
        <v>2</v>
      </c>
      <c r="F1456" s="8">
        <v>1.34</v>
      </c>
      <c r="G1456" s="4">
        <v>2</v>
      </c>
      <c r="H1456" s="8">
        <v>2.41</v>
      </c>
      <c r="I1456" s="4">
        <v>0</v>
      </c>
    </row>
    <row r="1457" spans="1:9" x14ac:dyDescent="0.2">
      <c r="A1457" s="2">
        <v>16</v>
      </c>
      <c r="B1457" s="1" t="s">
        <v>192</v>
      </c>
      <c r="C1457" s="4">
        <v>4</v>
      </c>
      <c r="D1457" s="8">
        <v>1.68</v>
      </c>
      <c r="E1457" s="4">
        <v>3</v>
      </c>
      <c r="F1457" s="8">
        <v>2.0099999999999998</v>
      </c>
      <c r="G1457" s="4">
        <v>1</v>
      </c>
      <c r="H1457" s="8">
        <v>1.2</v>
      </c>
      <c r="I1457" s="4">
        <v>0</v>
      </c>
    </row>
    <row r="1458" spans="1:9" x14ac:dyDescent="0.2">
      <c r="A1458" s="2">
        <v>16</v>
      </c>
      <c r="B1458" s="1" t="s">
        <v>243</v>
      </c>
      <c r="C1458" s="4">
        <v>4</v>
      </c>
      <c r="D1458" s="8">
        <v>1.68</v>
      </c>
      <c r="E1458" s="4">
        <v>4</v>
      </c>
      <c r="F1458" s="8">
        <v>2.68</v>
      </c>
      <c r="G1458" s="4">
        <v>0</v>
      </c>
      <c r="H1458" s="8">
        <v>0</v>
      </c>
      <c r="I1458" s="4">
        <v>0</v>
      </c>
    </row>
    <row r="1459" spans="1:9" x14ac:dyDescent="0.2">
      <c r="A1459" s="2">
        <v>16</v>
      </c>
      <c r="B1459" s="1" t="s">
        <v>162</v>
      </c>
      <c r="C1459" s="4">
        <v>4</v>
      </c>
      <c r="D1459" s="8">
        <v>1.68</v>
      </c>
      <c r="E1459" s="4">
        <v>4</v>
      </c>
      <c r="F1459" s="8">
        <v>2.68</v>
      </c>
      <c r="G1459" s="4">
        <v>0</v>
      </c>
      <c r="H1459" s="8">
        <v>0</v>
      </c>
      <c r="I1459" s="4">
        <v>0</v>
      </c>
    </row>
    <row r="1460" spans="1:9" x14ac:dyDescent="0.2">
      <c r="A1460" s="2">
        <v>16</v>
      </c>
      <c r="B1460" s="1" t="s">
        <v>193</v>
      </c>
      <c r="C1460" s="4">
        <v>4</v>
      </c>
      <c r="D1460" s="8">
        <v>1.68</v>
      </c>
      <c r="E1460" s="4">
        <v>4</v>
      </c>
      <c r="F1460" s="8">
        <v>2.68</v>
      </c>
      <c r="G1460" s="4">
        <v>0</v>
      </c>
      <c r="H1460" s="8">
        <v>0</v>
      </c>
      <c r="I1460" s="4">
        <v>0</v>
      </c>
    </row>
    <row r="1461" spans="1:9" x14ac:dyDescent="0.2">
      <c r="A1461" s="2">
        <v>16</v>
      </c>
      <c r="B1461" s="1" t="s">
        <v>200</v>
      </c>
      <c r="C1461" s="4">
        <v>4</v>
      </c>
      <c r="D1461" s="8">
        <v>1.68</v>
      </c>
      <c r="E1461" s="4">
        <v>3</v>
      </c>
      <c r="F1461" s="8">
        <v>2.0099999999999998</v>
      </c>
      <c r="G1461" s="4">
        <v>1</v>
      </c>
      <c r="H1461" s="8">
        <v>1.2</v>
      </c>
      <c r="I1461" s="4">
        <v>0</v>
      </c>
    </row>
    <row r="1462" spans="1:9" x14ac:dyDescent="0.2">
      <c r="A1462" s="1"/>
      <c r="C1462" s="4"/>
      <c r="D1462" s="8"/>
      <c r="E1462" s="4"/>
      <c r="F1462" s="8"/>
      <c r="G1462" s="4"/>
      <c r="H1462" s="8"/>
      <c r="I1462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6C472-FF7F-475C-83FF-879DAFF7E69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286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223</v>
      </c>
      <c r="D6" s="8">
        <v>18.2</v>
      </c>
      <c r="E6" s="12">
        <v>67</v>
      </c>
      <c r="F6" s="8">
        <v>14.26</v>
      </c>
      <c r="G6" s="12">
        <v>156</v>
      </c>
      <c r="H6" s="8">
        <v>21.05</v>
      </c>
      <c r="I6" s="12">
        <v>0</v>
      </c>
    </row>
    <row r="7" spans="2:9" ht="15" customHeight="1" x14ac:dyDescent="0.2">
      <c r="B7" t="s">
        <v>63</v>
      </c>
      <c r="C7" s="12">
        <v>60</v>
      </c>
      <c r="D7" s="8">
        <v>4.9000000000000004</v>
      </c>
      <c r="E7" s="12">
        <v>21</v>
      </c>
      <c r="F7" s="8">
        <v>4.47</v>
      </c>
      <c r="G7" s="12">
        <v>39</v>
      </c>
      <c r="H7" s="8">
        <v>5.26</v>
      </c>
      <c r="I7" s="12">
        <v>0</v>
      </c>
    </row>
    <row r="8" spans="2:9" ht="15" customHeight="1" x14ac:dyDescent="0.2">
      <c r="B8" t="s">
        <v>64</v>
      </c>
      <c r="C8" s="12">
        <v>7</v>
      </c>
      <c r="D8" s="8">
        <v>0.56999999999999995</v>
      </c>
      <c r="E8" s="12">
        <v>0</v>
      </c>
      <c r="F8" s="8">
        <v>0</v>
      </c>
      <c r="G8" s="12">
        <v>7</v>
      </c>
      <c r="H8" s="8">
        <v>0.94</v>
      </c>
      <c r="I8" s="12">
        <v>0</v>
      </c>
    </row>
    <row r="9" spans="2:9" ht="15" customHeight="1" x14ac:dyDescent="0.2">
      <c r="B9" t="s">
        <v>65</v>
      </c>
      <c r="C9" s="12">
        <v>24</v>
      </c>
      <c r="D9" s="8">
        <v>1.96</v>
      </c>
      <c r="E9" s="12">
        <v>1</v>
      </c>
      <c r="F9" s="8">
        <v>0.21</v>
      </c>
      <c r="G9" s="12">
        <v>23</v>
      </c>
      <c r="H9" s="8">
        <v>3.1</v>
      </c>
      <c r="I9" s="12">
        <v>0</v>
      </c>
    </row>
    <row r="10" spans="2:9" ht="15" customHeight="1" x14ac:dyDescent="0.2">
      <c r="B10" t="s">
        <v>66</v>
      </c>
      <c r="C10" s="12">
        <v>16</v>
      </c>
      <c r="D10" s="8">
        <v>1.31</v>
      </c>
      <c r="E10" s="12">
        <v>1</v>
      </c>
      <c r="F10" s="8">
        <v>0.21</v>
      </c>
      <c r="G10" s="12">
        <v>15</v>
      </c>
      <c r="H10" s="8">
        <v>2.02</v>
      </c>
      <c r="I10" s="12">
        <v>0</v>
      </c>
    </row>
    <row r="11" spans="2:9" ht="15" customHeight="1" x14ac:dyDescent="0.2">
      <c r="B11" t="s">
        <v>67</v>
      </c>
      <c r="C11" s="12">
        <v>277</v>
      </c>
      <c r="D11" s="8">
        <v>22.61</v>
      </c>
      <c r="E11" s="12">
        <v>90</v>
      </c>
      <c r="F11" s="8">
        <v>19.149999999999999</v>
      </c>
      <c r="G11" s="12">
        <v>187</v>
      </c>
      <c r="H11" s="8">
        <v>25.24</v>
      </c>
      <c r="I11" s="12">
        <v>0</v>
      </c>
    </row>
    <row r="12" spans="2:9" ht="15" customHeight="1" x14ac:dyDescent="0.2">
      <c r="B12" t="s">
        <v>68</v>
      </c>
      <c r="C12" s="12">
        <v>11</v>
      </c>
      <c r="D12" s="8">
        <v>0.9</v>
      </c>
      <c r="E12" s="12">
        <v>2</v>
      </c>
      <c r="F12" s="8">
        <v>0.43</v>
      </c>
      <c r="G12" s="12">
        <v>9</v>
      </c>
      <c r="H12" s="8">
        <v>1.21</v>
      </c>
      <c r="I12" s="12">
        <v>0</v>
      </c>
    </row>
    <row r="13" spans="2:9" ht="15" customHeight="1" x14ac:dyDescent="0.2">
      <c r="B13" t="s">
        <v>69</v>
      </c>
      <c r="C13" s="12">
        <v>81</v>
      </c>
      <c r="D13" s="8">
        <v>6.61</v>
      </c>
      <c r="E13" s="12">
        <v>26</v>
      </c>
      <c r="F13" s="8">
        <v>5.53</v>
      </c>
      <c r="G13" s="12">
        <v>55</v>
      </c>
      <c r="H13" s="8">
        <v>7.42</v>
      </c>
      <c r="I13" s="12">
        <v>0</v>
      </c>
    </row>
    <row r="14" spans="2:9" ht="15" customHeight="1" x14ac:dyDescent="0.2">
      <c r="B14" t="s">
        <v>70</v>
      </c>
      <c r="C14" s="12">
        <v>90</v>
      </c>
      <c r="D14" s="8">
        <v>7.35</v>
      </c>
      <c r="E14" s="12">
        <v>30</v>
      </c>
      <c r="F14" s="8">
        <v>6.38</v>
      </c>
      <c r="G14" s="12">
        <v>59</v>
      </c>
      <c r="H14" s="8">
        <v>7.96</v>
      </c>
      <c r="I14" s="12">
        <v>0</v>
      </c>
    </row>
    <row r="15" spans="2:9" ht="15" customHeight="1" x14ac:dyDescent="0.2">
      <c r="B15" t="s">
        <v>71</v>
      </c>
      <c r="C15" s="12">
        <v>96</v>
      </c>
      <c r="D15" s="8">
        <v>7.84</v>
      </c>
      <c r="E15" s="12">
        <v>61</v>
      </c>
      <c r="F15" s="8">
        <v>12.98</v>
      </c>
      <c r="G15" s="12">
        <v>33</v>
      </c>
      <c r="H15" s="8">
        <v>4.45</v>
      </c>
      <c r="I15" s="12">
        <v>0</v>
      </c>
    </row>
    <row r="16" spans="2:9" ht="15" customHeight="1" x14ac:dyDescent="0.2">
      <c r="B16" t="s">
        <v>72</v>
      </c>
      <c r="C16" s="12">
        <v>141</v>
      </c>
      <c r="D16" s="8">
        <v>11.51</v>
      </c>
      <c r="E16" s="12">
        <v>91</v>
      </c>
      <c r="F16" s="8">
        <v>19.36</v>
      </c>
      <c r="G16" s="12">
        <v>48</v>
      </c>
      <c r="H16" s="8">
        <v>6.48</v>
      </c>
      <c r="I16" s="12">
        <v>0</v>
      </c>
    </row>
    <row r="17" spans="2:9" ht="15" customHeight="1" x14ac:dyDescent="0.2">
      <c r="B17" t="s">
        <v>73</v>
      </c>
      <c r="C17" s="12">
        <v>57</v>
      </c>
      <c r="D17" s="8">
        <v>4.6500000000000004</v>
      </c>
      <c r="E17" s="12">
        <v>28</v>
      </c>
      <c r="F17" s="8">
        <v>5.96</v>
      </c>
      <c r="G17" s="12">
        <v>24</v>
      </c>
      <c r="H17" s="8">
        <v>3.24</v>
      </c>
      <c r="I17" s="12">
        <v>0</v>
      </c>
    </row>
    <row r="18" spans="2:9" ht="15" customHeight="1" x14ac:dyDescent="0.2">
      <c r="B18" t="s">
        <v>74</v>
      </c>
      <c r="C18" s="12">
        <v>69</v>
      </c>
      <c r="D18" s="8">
        <v>5.63</v>
      </c>
      <c r="E18" s="12">
        <v>29</v>
      </c>
      <c r="F18" s="8">
        <v>6.17</v>
      </c>
      <c r="G18" s="12">
        <v>39</v>
      </c>
      <c r="H18" s="8">
        <v>5.26</v>
      </c>
      <c r="I18" s="12">
        <v>0</v>
      </c>
    </row>
    <row r="19" spans="2:9" ht="15" customHeight="1" x14ac:dyDescent="0.2">
      <c r="B19" t="s">
        <v>75</v>
      </c>
      <c r="C19" s="12">
        <v>73</v>
      </c>
      <c r="D19" s="8">
        <v>5.96</v>
      </c>
      <c r="E19" s="12">
        <v>23</v>
      </c>
      <c r="F19" s="8">
        <v>4.8899999999999997</v>
      </c>
      <c r="G19" s="12">
        <v>47</v>
      </c>
      <c r="H19" s="8">
        <v>6.34</v>
      </c>
      <c r="I19" s="12">
        <v>0</v>
      </c>
    </row>
    <row r="20" spans="2:9" ht="15" customHeight="1" x14ac:dyDescent="0.2">
      <c r="B20" s="9" t="s">
        <v>248</v>
      </c>
      <c r="C20" s="12">
        <f>SUM(LTBL_12231[総数／事業所数])</f>
        <v>1225</v>
      </c>
      <c r="E20" s="12">
        <f>SUBTOTAL(109,LTBL_12231[個人／事業所数])</f>
        <v>470</v>
      </c>
      <c r="G20" s="12">
        <f>SUBTOTAL(109,LTBL_12231[法人／事業所数])</f>
        <v>741</v>
      </c>
      <c r="I20" s="12">
        <f>SUBTOTAL(109,LTBL_12231[法人以外の団体／事業所数])</f>
        <v>0</v>
      </c>
    </row>
    <row r="21" spans="2:9" ht="15" customHeight="1" x14ac:dyDescent="0.2">
      <c r="E21" s="11">
        <f>LTBL_12231[[#Totals],[個人／事業所数]]/LTBL_12231[[#Totals],[総数／事業所数]]</f>
        <v>0.3836734693877551</v>
      </c>
      <c r="G21" s="11">
        <f>LTBL_12231[[#Totals],[法人／事業所数]]/LTBL_12231[[#Totals],[総数／事業所数]]</f>
        <v>0.60489795918367351</v>
      </c>
      <c r="I21" s="11">
        <f>LTBL_12231[[#Totals],[法人以外の団体／事業所数]]/LTBL_12231[[#Totals],[総数／事業所数]]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100</v>
      </c>
      <c r="D24" s="8">
        <v>8.16</v>
      </c>
      <c r="E24" s="12">
        <v>78</v>
      </c>
      <c r="F24" s="8">
        <v>16.600000000000001</v>
      </c>
      <c r="G24" s="12">
        <v>22</v>
      </c>
      <c r="H24" s="8">
        <v>2.97</v>
      </c>
      <c r="I24" s="12">
        <v>0</v>
      </c>
    </row>
    <row r="25" spans="2:9" ht="15" customHeight="1" x14ac:dyDescent="0.2">
      <c r="B25" t="s">
        <v>84</v>
      </c>
      <c r="C25" s="12">
        <v>99</v>
      </c>
      <c r="D25" s="8">
        <v>8.08</v>
      </c>
      <c r="E25" s="12">
        <v>33</v>
      </c>
      <c r="F25" s="8">
        <v>7.02</v>
      </c>
      <c r="G25" s="12">
        <v>66</v>
      </c>
      <c r="H25" s="8">
        <v>8.91</v>
      </c>
      <c r="I25" s="12">
        <v>0</v>
      </c>
    </row>
    <row r="26" spans="2:9" ht="15" customHeight="1" x14ac:dyDescent="0.2">
      <c r="B26" t="s">
        <v>92</v>
      </c>
      <c r="C26" s="12">
        <v>86</v>
      </c>
      <c r="D26" s="8">
        <v>7.02</v>
      </c>
      <c r="E26" s="12">
        <v>29</v>
      </c>
      <c r="F26" s="8">
        <v>6.17</v>
      </c>
      <c r="G26" s="12">
        <v>57</v>
      </c>
      <c r="H26" s="8">
        <v>7.69</v>
      </c>
      <c r="I26" s="12">
        <v>0</v>
      </c>
    </row>
    <row r="27" spans="2:9" ht="15" customHeight="1" x14ac:dyDescent="0.2">
      <c r="B27" t="s">
        <v>85</v>
      </c>
      <c r="C27" s="12">
        <v>82</v>
      </c>
      <c r="D27" s="8">
        <v>6.69</v>
      </c>
      <c r="E27" s="12">
        <v>25</v>
      </c>
      <c r="F27" s="8">
        <v>5.32</v>
      </c>
      <c r="G27" s="12">
        <v>57</v>
      </c>
      <c r="H27" s="8">
        <v>7.69</v>
      </c>
      <c r="I27" s="12">
        <v>0</v>
      </c>
    </row>
    <row r="28" spans="2:9" ht="15" customHeight="1" x14ac:dyDescent="0.2">
      <c r="B28" t="s">
        <v>97</v>
      </c>
      <c r="C28" s="12">
        <v>82</v>
      </c>
      <c r="D28" s="8">
        <v>6.69</v>
      </c>
      <c r="E28" s="12">
        <v>60</v>
      </c>
      <c r="F28" s="8">
        <v>12.77</v>
      </c>
      <c r="G28" s="12">
        <v>22</v>
      </c>
      <c r="H28" s="8">
        <v>2.97</v>
      </c>
      <c r="I28" s="12">
        <v>0</v>
      </c>
    </row>
    <row r="29" spans="2:9" ht="15" customHeight="1" x14ac:dyDescent="0.2">
      <c r="B29" t="s">
        <v>94</v>
      </c>
      <c r="C29" s="12">
        <v>61</v>
      </c>
      <c r="D29" s="8">
        <v>4.9800000000000004</v>
      </c>
      <c r="E29" s="12">
        <v>25</v>
      </c>
      <c r="F29" s="8">
        <v>5.32</v>
      </c>
      <c r="G29" s="12">
        <v>36</v>
      </c>
      <c r="H29" s="8">
        <v>4.8600000000000003</v>
      </c>
      <c r="I29" s="12">
        <v>0</v>
      </c>
    </row>
    <row r="30" spans="2:9" ht="15" customHeight="1" x14ac:dyDescent="0.2">
      <c r="B30" t="s">
        <v>100</v>
      </c>
      <c r="C30" s="12">
        <v>57</v>
      </c>
      <c r="D30" s="8">
        <v>4.6500000000000004</v>
      </c>
      <c r="E30" s="12">
        <v>28</v>
      </c>
      <c r="F30" s="8">
        <v>5.96</v>
      </c>
      <c r="G30" s="12">
        <v>24</v>
      </c>
      <c r="H30" s="8">
        <v>3.24</v>
      </c>
      <c r="I30" s="12">
        <v>0</v>
      </c>
    </row>
    <row r="31" spans="2:9" ht="15" customHeight="1" x14ac:dyDescent="0.2">
      <c r="B31" t="s">
        <v>95</v>
      </c>
      <c r="C31" s="12">
        <v>53</v>
      </c>
      <c r="D31" s="8">
        <v>4.33</v>
      </c>
      <c r="E31" s="12">
        <v>19</v>
      </c>
      <c r="F31" s="8">
        <v>4.04</v>
      </c>
      <c r="G31" s="12">
        <v>34</v>
      </c>
      <c r="H31" s="8">
        <v>4.59</v>
      </c>
      <c r="I31" s="12">
        <v>0</v>
      </c>
    </row>
    <row r="32" spans="2:9" ht="15" customHeight="1" x14ac:dyDescent="0.2">
      <c r="B32" t="s">
        <v>90</v>
      </c>
      <c r="C32" s="12">
        <v>44</v>
      </c>
      <c r="D32" s="8">
        <v>3.59</v>
      </c>
      <c r="E32" s="12">
        <v>28</v>
      </c>
      <c r="F32" s="8">
        <v>5.96</v>
      </c>
      <c r="G32" s="12">
        <v>16</v>
      </c>
      <c r="H32" s="8">
        <v>2.16</v>
      </c>
      <c r="I32" s="12">
        <v>0</v>
      </c>
    </row>
    <row r="33" spans="2:9" ht="15" customHeight="1" x14ac:dyDescent="0.2">
      <c r="B33" t="s">
        <v>86</v>
      </c>
      <c r="C33" s="12">
        <v>42</v>
      </c>
      <c r="D33" s="8">
        <v>3.43</v>
      </c>
      <c r="E33" s="12">
        <v>9</v>
      </c>
      <c r="F33" s="8">
        <v>1.91</v>
      </c>
      <c r="G33" s="12">
        <v>33</v>
      </c>
      <c r="H33" s="8">
        <v>4.45</v>
      </c>
      <c r="I33" s="12">
        <v>0</v>
      </c>
    </row>
    <row r="34" spans="2:9" ht="15" customHeight="1" x14ac:dyDescent="0.2">
      <c r="B34" t="s">
        <v>103</v>
      </c>
      <c r="C34" s="12">
        <v>39</v>
      </c>
      <c r="D34" s="8">
        <v>3.18</v>
      </c>
      <c r="E34" s="12">
        <v>19</v>
      </c>
      <c r="F34" s="8">
        <v>4.04</v>
      </c>
      <c r="G34" s="12">
        <v>20</v>
      </c>
      <c r="H34" s="8">
        <v>2.7</v>
      </c>
      <c r="I34" s="12">
        <v>0</v>
      </c>
    </row>
    <row r="35" spans="2:9" ht="15" customHeight="1" x14ac:dyDescent="0.2">
      <c r="B35" t="s">
        <v>91</v>
      </c>
      <c r="C35" s="12">
        <v>36</v>
      </c>
      <c r="D35" s="8">
        <v>2.94</v>
      </c>
      <c r="E35" s="12">
        <v>19</v>
      </c>
      <c r="F35" s="8">
        <v>4.04</v>
      </c>
      <c r="G35" s="12">
        <v>17</v>
      </c>
      <c r="H35" s="8">
        <v>2.29</v>
      </c>
      <c r="I35" s="12">
        <v>0</v>
      </c>
    </row>
    <row r="36" spans="2:9" ht="15" customHeight="1" x14ac:dyDescent="0.2">
      <c r="B36" t="s">
        <v>101</v>
      </c>
      <c r="C36" s="12">
        <v>35</v>
      </c>
      <c r="D36" s="8">
        <v>2.86</v>
      </c>
      <c r="E36" s="12">
        <v>28</v>
      </c>
      <c r="F36" s="8">
        <v>5.96</v>
      </c>
      <c r="G36" s="12">
        <v>7</v>
      </c>
      <c r="H36" s="8">
        <v>0.94</v>
      </c>
      <c r="I36" s="12">
        <v>0</v>
      </c>
    </row>
    <row r="37" spans="2:9" ht="15" customHeight="1" x14ac:dyDescent="0.2">
      <c r="B37" t="s">
        <v>96</v>
      </c>
      <c r="C37" s="12">
        <v>34</v>
      </c>
      <c r="D37" s="8">
        <v>2.78</v>
      </c>
      <c r="E37" s="12">
        <v>10</v>
      </c>
      <c r="F37" s="8">
        <v>2.13</v>
      </c>
      <c r="G37" s="12">
        <v>23</v>
      </c>
      <c r="H37" s="8">
        <v>3.1</v>
      </c>
      <c r="I37" s="12">
        <v>0</v>
      </c>
    </row>
    <row r="38" spans="2:9" ht="15" customHeight="1" x14ac:dyDescent="0.2">
      <c r="B38" t="s">
        <v>102</v>
      </c>
      <c r="C38" s="12">
        <v>34</v>
      </c>
      <c r="D38" s="8">
        <v>2.78</v>
      </c>
      <c r="E38" s="12">
        <v>1</v>
      </c>
      <c r="F38" s="8">
        <v>0.21</v>
      </c>
      <c r="G38" s="12">
        <v>32</v>
      </c>
      <c r="H38" s="8">
        <v>4.32</v>
      </c>
      <c r="I38" s="12">
        <v>0</v>
      </c>
    </row>
    <row r="39" spans="2:9" ht="15" customHeight="1" x14ac:dyDescent="0.2">
      <c r="B39" t="s">
        <v>99</v>
      </c>
      <c r="C39" s="12">
        <v>27</v>
      </c>
      <c r="D39" s="8">
        <v>2.2000000000000002</v>
      </c>
      <c r="E39" s="12">
        <v>7</v>
      </c>
      <c r="F39" s="8">
        <v>1.49</v>
      </c>
      <c r="G39" s="12">
        <v>18</v>
      </c>
      <c r="H39" s="8">
        <v>2.4300000000000002</v>
      </c>
      <c r="I39" s="12">
        <v>0</v>
      </c>
    </row>
    <row r="40" spans="2:9" ht="15" customHeight="1" x14ac:dyDescent="0.2">
      <c r="B40" t="s">
        <v>87</v>
      </c>
      <c r="C40" s="12">
        <v>25</v>
      </c>
      <c r="D40" s="8">
        <v>2.04</v>
      </c>
      <c r="E40" s="12">
        <v>5</v>
      </c>
      <c r="F40" s="8">
        <v>1.06</v>
      </c>
      <c r="G40" s="12">
        <v>20</v>
      </c>
      <c r="H40" s="8">
        <v>2.7</v>
      </c>
      <c r="I40" s="12">
        <v>0</v>
      </c>
    </row>
    <row r="41" spans="2:9" ht="15" customHeight="1" x14ac:dyDescent="0.2">
      <c r="B41" t="s">
        <v>104</v>
      </c>
      <c r="C41" s="12">
        <v>21</v>
      </c>
      <c r="D41" s="8">
        <v>1.71</v>
      </c>
      <c r="E41" s="12">
        <v>1</v>
      </c>
      <c r="F41" s="8">
        <v>0.21</v>
      </c>
      <c r="G41" s="12">
        <v>20</v>
      </c>
      <c r="H41" s="8">
        <v>2.7</v>
      </c>
      <c r="I41" s="12">
        <v>0</v>
      </c>
    </row>
    <row r="42" spans="2:9" ht="15" customHeight="1" x14ac:dyDescent="0.2">
      <c r="B42" t="s">
        <v>89</v>
      </c>
      <c r="C42" s="12">
        <v>21</v>
      </c>
      <c r="D42" s="8">
        <v>1.71</v>
      </c>
      <c r="E42" s="12">
        <v>3</v>
      </c>
      <c r="F42" s="8">
        <v>0.64</v>
      </c>
      <c r="G42" s="12">
        <v>18</v>
      </c>
      <c r="H42" s="8">
        <v>2.4300000000000002</v>
      </c>
      <c r="I42" s="12">
        <v>0</v>
      </c>
    </row>
    <row r="43" spans="2:9" ht="15" customHeight="1" x14ac:dyDescent="0.2">
      <c r="B43" t="s">
        <v>105</v>
      </c>
      <c r="C43" s="12">
        <v>21</v>
      </c>
      <c r="D43" s="8">
        <v>1.71</v>
      </c>
      <c r="E43" s="12">
        <v>2</v>
      </c>
      <c r="F43" s="8">
        <v>0.43</v>
      </c>
      <c r="G43" s="12">
        <v>19</v>
      </c>
      <c r="H43" s="8">
        <v>2.56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55</v>
      </c>
      <c r="D47" s="8">
        <v>4.49</v>
      </c>
      <c r="E47" s="12">
        <v>45</v>
      </c>
      <c r="F47" s="8">
        <v>9.57</v>
      </c>
      <c r="G47" s="12">
        <v>10</v>
      </c>
      <c r="H47" s="8">
        <v>1.35</v>
      </c>
      <c r="I47" s="12">
        <v>0</v>
      </c>
    </row>
    <row r="48" spans="2:9" ht="15" customHeight="1" x14ac:dyDescent="0.2">
      <c r="B48" t="s">
        <v>158</v>
      </c>
      <c r="C48" s="12">
        <v>40</v>
      </c>
      <c r="D48" s="8">
        <v>3.27</v>
      </c>
      <c r="E48" s="12">
        <v>16</v>
      </c>
      <c r="F48" s="8">
        <v>3.4</v>
      </c>
      <c r="G48" s="12">
        <v>24</v>
      </c>
      <c r="H48" s="8">
        <v>3.24</v>
      </c>
      <c r="I48" s="12">
        <v>0</v>
      </c>
    </row>
    <row r="49" spans="2:9" ht="15" customHeight="1" x14ac:dyDescent="0.2">
      <c r="B49" t="s">
        <v>167</v>
      </c>
      <c r="C49" s="12">
        <v>39</v>
      </c>
      <c r="D49" s="8">
        <v>3.18</v>
      </c>
      <c r="E49" s="12">
        <v>19</v>
      </c>
      <c r="F49" s="8">
        <v>4.04</v>
      </c>
      <c r="G49" s="12">
        <v>20</v>
      </c>
      <c r="H49" s="8">
        <v>2.7</v>
      </c>
      <c r="I49" s="12">
        <v>0</v>
      </c>
    </row>
    <row r="50" spans="2:9" ht="15" customHeight="1" x14ac:dyDescent="0.2">
      <c r="B50" t="s">
        <v>165</v>
      </c>
      <c r="C50" s="12">
        <v>35</v>
      </c>
      <c r="D50" s="8">
        <v>2.86</v>
      </c>
      <c r="E50" s="12">
        <v>19</v>
      </c>
      <c r="F50" s="8">
        <v>4.04</v>
      </c>
      <c r="G50" s="12">
        <v>16</v>
      </c>
      <c r="H50" s="8">
        <v>2.16</v>
      </c>
      <c r="I50" s="12">
        <v>0</v>
      </c>
    </row>
    <row r="51" spans="2:9" ht="15" customHeight="1" x14ac:dyDescent="0.2">
      <c r="B51" t="s">
        <v>148</v>
      </c>
      <c r="C51" s="12">
        <v>33</v>
      </c>
      <c r="D51" s="8">
        <v>2.69</v>
      </c>
      <c r="E51" s="12">
        <v>4</v>
      </c>
      <c r="F51" s="8">
        <v>0.85</v>
      </c>
      <c r="G51" s="12">
        <v>29</v>
      </c>
      <c r="H51" s="8">
        <v>3.91</v>
      </c>
      <c r="I51" s="12">
        <v>0</v>
      </c>
    </row>
    <row r="52" spans="2:9" ht="15" customHeight="1" x14ac:dyDescent="0.2">
      <c r="B52" t="s">
        <v>150</v>
      </c>
      <c r="C52" s="12">
        <v>29</v>
      </c>
      <c r="D52" s="8">
        <v>2.37</v>
      </c>
      <c r="E52" s="12">
        <v>15</v>
      </c>
      <c r="F52" s="8">
        <v>3.19</v>
      </c>
      <c r="G52" s="12">
        <v>14</v>
      </c>
      <c r="H52" s="8">
        <v>1.89</v>
      </c>
      <c r="I52" s="12">
        <v>0</v>
      </c>
    </row>
    <row r="53" spans="2:9" ht="15" customHeight="1" x14ac:dyDescent="0.2">
      <c r="B53" t="s">
        <v>163</v>
      </c>
      <c r="C53" s="12">
        <v>27</v>
      </c>
      <c r="D53" s="8">
        <v>2.2000000000000002</v>
      </c>
      <c r="E53" s="12">
        <v>22</v>
      </c>
      <c r="F53" s="8">
        <v>4.68</v>
      </c>
      <c r="G53" s="12">
        <v>5</v>
      </c>
      <c r="H53" s="8">
        <v>0.67</v>
      </c>
      <c r="I53" s="12">
        <v>0</v>
      </c>
    </row>
    <row r="54" spans="2:9" ht="15" customHeight="1" x14ac:dyDescent="0.2">
      <c r="B54" t="s">
        <v>155</v>
      </c>
      <c r="C54" s="12">
        <v>26</v>
      </c>
      <c r="D54" s="8">
        <v>2.12</v>
      </c>
      <c r="E54" s="12">
        <v>12</v>
      </c>
      <c r="F54" s="8">
        <v>2.5499999999999998</v>
      </c>
      <c r="G54" s="12">
        <v>14</v>
      </c>
      <c r="H54" s="8">
        <v>1.89</v>
      </c>
      <c r="I54" s="12">
        <v>0</v>
      </c>
    </row>
    <row r="55" spans="2:9" ht="15" customHeight="1" x14ac:dyDescent="0.2">
      <c r="B55" t="s">
        <v>160</v>
      </c>
      <c r="C55" s="12">
        <v>26</v>
      </c>
      <c r="D55" s="8">
        <v>2.12</v>
      </c>
      <c r="E55" s="12">
        <v>8</v>
      </c>
      <c r="F55" s="8">
        <v>1.7</v>
      </c>
      <c r="G55" s="12">
        <v>17</v>
      </c>
      <c r="H55" s="8">
        <v>2.29</v>
      </c>
      <c r="I55" s="12">
        <v>0</v>
      </c>
    </row>
    <row r="56" spans="2:9" ht="15" customHeight="1" x14ac:dyDescent="0.2">
      <c r="B56" t="s">
        <v>161</v>
      </c>
      <c r="C56" s="12">
        <v>26</v>
      </c>
      <c r="D56" s="8">
        <v>2.12</v>
      </c>
      <c r="E56" s="12">
        <v>19</v>
      </c>
      <c r="F56" s="8">
        <v>4.04</v>
      </c>
      <c r="G56" s="12">
        <v>7</v>
      </c>
      <c r="H56" s="8">
        <v>0.94</v>
      </c>
      <c r="I56" s="12">
        <v>0</v>
      </c>
    </row>
    <row r="57" spans="2:9" ht="15" customHeight="1" x14ac:dyDescent="0.2">
      <c r="B57" t="s">
        <v>166</v>
      </c>
      <c r="C57" s="12">
        <v>26</v>
      </c>
      <c r="D57" s="8">
        <v>2.12</v>
      </c>
      <c r="E57" s="12">
        <v>22</v>
      </c>
      <c r="F57" s="8">
        <v>4.68</v>
      </c>
      <c r="G57" s="12">
        <v>4</v>
      </c>
      <c r="H57" s="8">
        <v>0.54</v>
      </c>
      <c r="I57" s="12">
        <v>0</v>
      </c>
    </row>
    <row r="58" spans="2:9" ht="15" customHeight="1" x14ac:dyDescent="0.2">
      <c r="B58" t="s">
        <v>149</v>
      </c>
      <c r="C58" s="12">
        <v>25</v>
      </c>
      <c r="D58" s="8">
        <v>2.04</v>
      </c>
      <c r="E58" s="12">
        <v>10</v>
      </c>
      <c r="F58" s="8">
        <v>2.13</v>
      </c>
      <c r="G58" s="12">
        <v>15</v>
      </c>
      <c r="H58" s="8">
        <v>2.02</v>
      </c>
      <c r="I58" s="12">
        <v>0</v>
      </c>
    </row>
    <row r="59" spans="2:9" ht="15" customHeight="1" x14ac:dyDescent="0.2">
      <c r="B59" t="s">
        <v>152</v>
      </c>
      <c r="C59" s="12">
        <v>22</v>
      </c>
      <c r="D59" s="8">
        <v>1.8</v>
      </c>
      <c r="E59" s="12">
        <v>6</v>
      </c>
      <c r="F59" s="8">
        <v>1.28</v>
      </c>
      <c r="G59" s="12">
        <v>16</v>
      </c>
      <c r="H59" s="8">
        <v>2.16</v>
      </c>
      <c r="I59" s="12">
        <v>0</v>
      </c>
    </row>
    <row r="60" spans="2:9" ht="15" customHeight="1" x14ac:dyDescent="0.2">
      <c r="B60" t="s">
        <v>156</v>
      </c>
      <c r="C60" s="12">
        <v>22</v>
      </c>
      <c r="D60" s="8">
        <v>1.8</v>
      </c>
      <c r="E60" s="12">
        <v>7</v>
      </c>
      <c r="F60" s="8">
        <v>1.49</v>
      </c>
      <c r="G60" s="12">
        <v>15</v>
      </c>
      <c r="H60" s="8">
        <v>2.02</v>
      </c>
      <c r="I60" s="12">
        <v>0</v>
      </c>
    </row>
    <row r="61" spans="2:9" ht="15" customHeight="1" x14ac:dyDescent="0.2">
      <c r="B61" t="s">
        <v>174</v>
      </c>
      <c r="C61" s="12">
        <v>20</v>
      </c>
      <c r="D61" s="8">
        <v>1.63</v>
      </c>
      <c r="E61" s="12">
        <v>6</v>
      </c>
      <c r="F61" s="8">
        <v>1.28</v>
      </c>
      <c r="G61" s="12">
        <v>14</v>
      </c>
      <c r="H61" s="8">
        <v>1.89</v>
      </c>
      <c r="I61" s="12">
        <v>0</v>
      </c>
    </row>
    <row r="62" spans="2:9" ht="15" customHeight="1" x14ac:dyDescent="0.2">
      <c r="B62" t="s">
        <v>191</v>
      </c>
      <c r="C62" s="12">
        <v>20</v>
      </c>
      <c r="D62" s="8">
        <v>1.63</v>
      </c>
      <c r="E62" s="12">
        <v>4</v>
      </c>
      <c r="F62" s="8">
        <v>0.85</v>
      </c>
      <c r="G62" s="12">
        <v>16</v>
      </c>
      <c r="H62" s="8">
        <v>2.16</v>
      </c>
      <c r="I62" s="12">
        <v>0</v>
      </c>
    </row>
    <row r="63" spans="2:9" ht="15" customHeight="1" x14ac:dyDescent="0.2">
      <c r="B63" t="s">
        <v>176</v>
      </c>
      <c r="C63" s="12">
        <v>17</v>
      </c>
      <c r="D63" s="8">
        <v>1.39</v>
      </c>
      <c r="E63" s="12">
        <v>5</v>
      </c>
      <c r="F63" s="8">
        <v>1.06</v>
      </c>
      <c r="G63" s="12">
        <v>12</v>
      </c>
      <c r="H63" s="8">
        <v>1.62</v>
      </c>
      <c r="I63" s="12">
        <v>0</v>
      </c>
    </row>
    <row r="64" spans="2:9" ht="15" customHeight="1" x14ac:dyDescent="0.2">
      <c r="B64" t="s">
        <v>190</v>
      </c>
      <c r="C64" s="12">
        <v>17</v>
      </c>
      <c r="D64" s="8">
        <v>1.39</v>
      </c>
      <c r="E64" s="12">
        <v>16</v>
      </c>
      <c r="F64" s="8">
        <v>3.4</v>
      </c>
      <c r="G64" s="12">
        <v>1</v>
      </c>
      <c r="H64" s="8">
        <v>0.13</v>
      </c>
      <c r="I64" s="12">
        <v>0</v>
      </c>
    </row>
    <row r="65" spans="2:9" ht="15" customHeight="1" x14ac:dyDescent="0.2">
      <c r="B65" t="s">
        <v>205</v>
      </c>
      <c r="C65" s="12">
        <v>17</v>
      </c>
      <c r="D65" s="8">
        <v>1.39</v>
      </c>
      <c r="E65" s="12">
        <v>1</v>
      </c>
      <c r="F65" s="8">
        <v>0.21</v>
      </c>
      <c r="G65" s="12">
        <v>16</v>
      </c>
      <c r="H65" s="8">
        <v>2.16</v>
      </c>
      <c r="I65" s="12">
        <v>0</v>
      </c>
    </row>
    <row r="66" spans="2:9" ht="15" customHeight="1" x14ac:dyDescent="0.2">
      <c r="B66" t="s">
        <v>178</v>
      </c>
      <c r="C66" s="12">
        <v>17</v>
      </c>
      <c r="D66" s="8">
        <v>1.39</v>
      </c>
      <c r="E66" s="12">
        <v>1</v>
      </c>
      <c r="F66" s="8">
        <v>0.21</v>
      </c>
      <c r="G66" s="12">
        <v>16</v>
      </c>
      <c r="H66" s="8">
        <v>2.16</v>
      </c>
      <c r="I66" s="12">
        <v>0</v>
      </c>
    </row>
    <row r="67" spans="2:9" ht="15" customHeight="1" x14ac:dyDescent="0.2">
      <c r="B67" t="s">
        <v>162</v>
      </c>
      <c r="C67" s="12">
        <v>17</v>
      </c>
      <c r="D67" s="8">
        <v>1.39</v>
      </c>
      <c r="E67" s="12">
        <v>14</v>
      </c>
      <c r="F67" s="8">
        <v>2.98</v>
      </c>
      <c r="G67" s="12">
        <v>3</v>
      </c>
      <c r="H67" s="8">
        <v>0.4</v>
      </c>
      <c r="I67" s="12">
        <v>0</v>
      </c>
    </row>
    <row r="69" spans="2:9" ht="15" customHeight="1" x14ac:dyDescent="0.2">
      <c r="B69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AC213-AF30-428B-817C-1D485316D097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287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180</v>
      </c>
      <c r="D6" s="8">
        <v>19.8</v>
      </c>
      <c r="E6" s="12">
        <v>40</v>
      </c>
      <c r="F6" s="8">
        <v>14.93</v>
      </c>
      <c r="G6" s="12">
        <v>140</v>
      </c>
      <c r="H6" s="8">
        <v>21.94</v>
      </c>
      <c r="I6" s="12">
        <v>0</v>
      </c>
    </row>
    <row r="7" spans="2:9" ht="15" customHeight="1" x14ac:dyDescent="0.2">
      <c r="B7" t="s">
        <v>63</v>
      </c>
      <c r="C7" s="12">
        <v>155</v>
      </c>
      <c r="D7" s="8">
        <v>17.05</v>
      </c>
      <c r="E7" s="12">
        <v>21</v>
      </c>
      <c r="F7" s="8">
        <v>7.84</v>
      </c>
      <c r="G7" s="12">
        <v>134</v>
      </c>
      <c r="H7" s="8">
        <v>21</v>
      </c>
      <c r="I7" s="12">
        <v>0</v>
      </c>
    </row>
    <row r="8" spans="2:9" ht="15" customHeight="1" x14ac:dyDescent="0.2">
      <c r="B8" t="s">
        <v>64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65</v>
      </c>
      <c r="C9" s="12">
        <v>15</v>
      </c>
      <c r="D9" s="8">
        <v>1.65</v>
      </c>
      <c r="E9" s="12">
        <v>0</v>
      </c>
      <c r="F9" s="8">
        <v>0</v>
      </c>
      <c r="G9" s="12">
        <v>15</v>
      </c>
      <c r="H9" s="8">
        <v>2.35</v>
      </c>
      <c r="I9" s="12">
        <v>0</v>
      </c>
    </row>
    <row r="10" spans="2:9" ht="15" customHeight="1" x14ac:dyDescent="0.2">
      <c r="B10" t="s">
        <v>66</v>
      </c>
      <c r="C10" s="12">
        <v>21</v>
      </c>
      <c r="D10" s="8">
        <v>2.31</v>
      </c>
      <c r="E10" s="12">
        <v>0</v>
      </c>
      <c r="F10" s="8">
        <v>0</v>
      </c>
      <c r="G10" s="12">
        <v>21</v>
      </c>
      <c r="H10" s="8">
        <v>3.29</v>
      </c>
      <c r="I10" s="12">
        <v>0</v>
      </c>
    </row>
    <row r="11" spans="2:9" ht="15" customHeight="1" x14ac:dyDescent="0.2">
      <c r="B11" t="s">
        <v>67</v>
      </c>
      <c r="C11" s="12">
        <v>169</v>
      </c>
      <c r="D11" s="8">
        <v>18.59</v>
      </c>
      <c r="E11" s="12">
        <v>41</v>
      </c>
      <c r="F11" s="8">
        <v>15.3</v>
      </c>
      <c r="G11" s="12">
        <v>127</v>
      </c>
      <c r="H11" s="8">
        <v>19.91</v>
      </c>
      <c r="I11" s="12">
        <v>1</v>
      </c>
    </row>
    <row r="12" spans="2:9" ht="15" customHeight="1" x14ac:dyDescent="0.2">
      <c r="B12" t="s">
        <v>68</v>
      </c>
      <c r="C12" s="12">
        <v>2</v>
      </c>
      <c r="D12" s="8">
        <v>0.22</v>
      </c>
      <c r="E12" s="12">
        <v>0</v>
      </c>
      <c r="F12" s="8">
        <v>0</v>
      </c>
      <c r="G12" s="12">
        <v>2</v>
      </c>
      <c r="H12" s="8">
        <v>0.31</v>
      </c>
      <c r="I12" s="12">
        <v>0</v>
      </c>
    </row>
    <row r="13" spans="2:9" ht="15" customHeight="1" x14ac:dyDescent="0.2">
      <c r="B13" t="s">
        <v>69</v>
      </c>
      <c r="C13" s="12">
        <v>58</v>
      </c>
      <c r="D13" s="8">
        <v>6.38</v>
      </c>
      <c r="E13" s="12">
        <v>2</v>
      </c>
      <c r="F13" s="8">
        <v>0.75</v>
      </c>
      <c r="G13" s="12">
        <v>56</v>
      </c>
      <c r="H13" s="8">
        <v>8.7799999999999994</v>
      </c>
      <c r="I13" s="12">
        <v>0</v>
      </c>
    </row>
    <row r="14" spans="2:9" ht="15" customHeight="1" x14ac:dyDescent="0.2">
      <c r="B14" t="s">
        <v>70</v>
      </c>
      <c r="C14" s="12">
        <v>49</v>
      </c>
      <c r="D14" s="8">
        <v>5.39</v>
      </c>
      <c r="E14" s="12">
        <v>15</v>
      </c>
      <c r="F14" s="8">
        <v>5.6</v>
      </c>
      <c r="G14" s="12">
        <v>34</v>
      </c>
      <c r="H14" s="8">
        <v>5.33</v>
      </c>
      <c r="I14" s="12">
        <v>0</v>
      </c>
    </row>
    <row r="15" spans="2:9" ht="15" customHeight="1" x14ac:dyDescent="0.2">
      <c r="B15" t="s">
        <v>71</v>
      </c>
      <c r="C15" s="12">
        <v>57</v>
      </c>
      <c r="D15" s="8">
        <v>6.27</v>
      </c>
      <c r="E15" s="12">
        <v>44</v>
      </c>
      <c r="F15" s="8">
        <v>16.420000000000002</v>
      </c>
      <c r="G15" s="12">
        <v>13</v>
      </c>
      <c r="H15" s="8">
        <v>2.04</v>
      </c>
      <c r="I15" s="12">
        <v>0</v>
      </c>
    </row>
    <row r="16" spans="2:9" ht="15" customHeight="1" x14ac:dyDescent="0.2">
      <c r="B16" t="s">
        <v>72</v>
      </c>
      <c r="C16" s="12">
        <v>78</v>
      </c>
      <c r="D16" s="8">
        <v>8.58</v>
      </c>
      <c r="E16" s="12">
        <v>56</v>
      </c>
      <c r="F16" s="8">
        <v>20.9</v>
      </c>
      <c r="G16" s="12">
        <v>22</v>
      </c>
      <c r="H16" s="8">
        <v>3.45</v>
      </c>
      <c r="I16" s="12">
        <v>0</v>
      </c>
    </row>
    <row r="17" spans="2:9" ht="15" customHeight="1" x14ac:dyDescent="0.2">
      <c r="B17" t="s">
        <v>73</v>
      </c>
      <c r="C17" s="12">
        <v>42</v>
      </c>
      <c r="D17" s="8">
        <v>4.62</v>
      </c>
      <c r="E17" s="12">
        <v>17</v>
      </c>
      <c r="F17" s="8">
        <v>6.34</v>
      </c>
      <c r="G17" s="12">
        <v>24</v>
      </c>
      <c r="H17" s="8">
        <v>3.76</v>
      </c>
      <c r="I17" s="12">
        <v>0</v>
      </c>
    </row>
    <row r="18" spans="2:9" ht="15" customHeight="1" x14ac:dyDescent="0.2">
      <c r="B18" t="s">
        <v>74</v>
      </c>
      <c r="C18" s="12">
        <v>34</v>
      </c>
      <c r="D18" s="8">
        <v>3.74</v>
      </c>
      <c r="E18" s="12">
        <v>21</v>
      </c>
      <c r="F18" s="8">
        <v>7.84</v>
      </c>
      <c r="G18" s="12">
        <v>13</v>
      </c>
      <c r="H18" s="8">
        <v>2.04</v>
      </c>
      <c r="I18" s="12">
        <v>0</v>
      </c>
    </row>
    <row r="19" spans="2:9" ht="15" customHeight="1" x14ac:dyDescent="0.2">
      <c r="B19" t="s">
        <v>75</v>
      </c>
      <c r="C19" s="12">
        <v>49</v>
      </c>
      <c r="D19" s="8">
        <v>5.39</v>
      </c>
      <c r="E19" s="12">
        <v>11</v>
      </c>
      <c r="F19" s="8">
        <v>4.0999999999999996</v>
      </c>
      <c r="G19" s="12">
        <v>37</v>
      </c>
      <c r="H19" s="8">
        <v>5.8</v>
      </c>
      <c r="I19" s="12">
        <v>1</v>
      </c>
    </row>
    <row r="20" spans="2:9" ht="15" customHeight="1" x14ac:dyDescent="0.2">
      <c r="B20" s="9" t="s">
        <v>248</v>
      </c>
      <c r="C20" s="12">
        <f>SUM(LTBL_12232[総数／事業所数])</f>
        <v>909</v>
      </c>
      <c r="E20" s="12">
        <f>SUBTOTAL(109,LTBL_12232[個人／事業所数])</f>
        <v>268</v>
      </c>
      <c r="G20" s="12">
        <f>SUBTOTAL(109,LTBL_12232[法人／事業所数])</f>
        <v>638</v>
      </c>
      <c r="I20" s="12">
        <f>SUBTOTAL(109,LTBL_12232[法人以外の団体／事業所数])</f>
        <v>2</v>
      </c>
    </row>
    <row r="21" spans="2:9" ht="15" customHeight="1" x14ac:dyDescent="0.2">
      <c r="E21" s="11">
        <f>LTBL_12232[[#Totals],[個人／事業所数]]/LTBL_12232[[#Totals],[総数／事業所数]]</f>
        <v>0.29482948294829481</v>
      </c>
      <c r="G21" s="11">
        <f>LTBL_12232[[#Totals],[法人／事業所数]]/LTBL_12232[[#Totals],[総数／事業所数]]</f>
        <v>0.70187018701870185</v>
      </c>
      <c r="I21" s="11">
        <f>LTBL_12232[[#Totals],[法人以外の団体／事業所数]]/LTBL_12232[[#Totals],[総数／事業所数]]</f>
        <v>2.2002200220022001E-3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84</v>
      </c>
      <c r="C24" s="12">
        <v>84</v>
      </c>
      <c r="D24" s="8">
        <v>9.24</v>
      </c>
      <c r="E24" s="12">
        <v>19</v>
      </c>
      <c r="F24" s="8">
        <v>7.09</v>
      </c>
      <c r="G24" s="12">
        <v>65</v>
      </c>
      <c r="H24" s="8">
        <v>10.19</v>
      </c>
      <c r="I24" s="12">
        <v>0</v>
      </c>
    </row>
    <row r="25" spans="2:9" ht="15" customHeight="1" x14ac:dyDescent="0.2">
      <c r="B25" t="s">
        <v>85</v>
      </c>
      <c r="C25" s="12">
        <v>58</v>
      </c>
      <c r="D25" s="8">
        <v>6.38</v>
      </c>
      <c r="E25" s="12">
        <v>16</v>
      </c>
      <c r="F25" s="8">
        <v>5.97</v>
      </c>
      <c r="G25" s="12">
        <v>42</v>
      </c>
      <c r="H25" s="8">
        <v>6.58</v>
      </c>
      <c r="I25" s="12">
        <v>0</v>
      </c>
    </row>
    <row r="26" spans="2:9" ht="15" customHeight="1" x14ac:dyDescent="0.2">
      <c r="B26" t="s">
        <v>98</v>
      </c>
      <c r="C26" s="12">
        <v>56</v>
      </c>
      <c r="D26" s="8">
        <v>6.16</v>
      </c>
      <c r="E26" s="12">
        <v>47</v>
      </c>
      <c r="F26" s="8">
        <v>17.54</v>
      </c>
      <c r="G26" s="12">
        <v>9</v>
      </c>
      <c r="H26" s="8">
        <v>1.41</v>
      </c>
      <c r="I26" s="12">
        <v>0</v>
      </c>
    </row>
    <row r="27" spans="2:9" ht="15" customHeight="1" x14ac:dyDescent="0.2">
      <c r="B27" t="s">
        <v>97</v>
      </c>
      <c r="C27" s="12">
        <v>55</v>
      </c>
      <c r="D27" s="8">
        <v>6.05</v>
      </c>
      <c r="E27" s="12">
        <v>43</v>
      </c>
      <c r="F27" s="8">
        <v>16.04</v>
      </c>
      <c r="G27" s="12">
        <v>12</v>
      </c>
      <c r="H27" s="8">
        <v>1.88</v>
      </c>
      <c r="I27" s="12">
        <v>0</v>
      </c>
    </row>
    <row r="28" spans="2:9" ht="15" customHeight="1" x14ac:dyDescent="0.2">
      <c r="B28" t="s">
        <v>106</v>
      </c>
      <c r="C28" s="12">
        <v>52</v>
      </c>
      <c r="D28" s="8">
        <v>5.72</v>
      </c>
      <c r="E28" s="12">
        <v>6</v>
      </c>
      <c r="F28" s="8">
        <v>2.2400000000000002</v>
      </c>
      <c r="G28" s="12">
        <v>46</v>
      </c>
      <c r="H28" s="8">
        <v>7.21</v>
      </c>
      <c r="I28" s="12">
        <v>0</v>
      </c>
    </row>
    <row r="29" spans="2:9" ht="15" customHeight="1" x14ac:dyDescent="0.2">
      <c r="B29" t="s">
        <v>94</v>
      </c>
      <c r="C29" s="12">
        <v>43</v>
      </c>
      <c r="D29" s="8">
        <v>4.7300000000000004</v>
      </c>
      <c r="E29" s="12">
        <v>1</v>
      </c>
      <c r="F29" s="8">
        <v>0.37</v>
      </c>
      <c r="G29" s="12">
        <v>42</v>
      </c>
      <c r="H29" s="8">
        <v>6.58</v>
      </c>
      <c r="I29" s="12">
        <v>0</v>
      </c>
    </row>
    <row r="30" spans="2:9" ht="15" customHeight="1" x14ac:dyDescent="0.2">
      <c r="B30" t="s">
        <v>100</v>
      </c>
      <c r="C30" s="12">
        <v>42</v>
      </c>
      <c r="D30" s="8">
        <v>4.62</v>
      </c>
      <c r="E30" s="12">
        <v>17</v>
      </c>
      <c r="F30" s="8">
        <v>6.34</v>
      </c>
      <c r="G30" s="12">
        <v>24</v>
      </c>
      <c r="H30" s="8">
        <v>3.76</v>
      </c>
      <c r="I30" s="12">
        <v>0</v>
      </c>
    </row>
    <row r="31" spans="2:9" ht="15" customHeight="1" x14ac:dyDescent="0.2">
      <c r="B31" t="s">
        <v>92</v>
      </c>
      <c r="C31" s="12">
        <v>41</v>
      </c>
      <c r="D31" s="8">
        <v>4.51</v>
      </c>
      <c r="E31" s="12">
        <v>11</v>
      </c>
      <c r="F31" s="8">
        <v>4.0999999999999996</v>
      </c>
      <c r="G31" s="12">
        <v>30</v>
      </c>
      <c r="H31" s="8">
        <v>4.7</v>
      </c>
      <c r="I31" s="12">
        <v>0</v>
      </c>
    </row>
    <row r="32" spans="2:9" ht="15" customHeight="1" x14ac:dyDescent="0.2">
      <c r="B32" t="s">
        <v>86</v>
      </c>
      <c r="C32" s="12">
        <v>38</v>
      </c>
      <c r="D32" s="8">
        <v>4.18</v>
      </c>
      <c r="E32" s="12">
        <v>5</v>
      </c>
      <c r="F32" s="8">
        <v>1.87</v>
      </c>
      <c r="G32" s="12">
        <v>33</v>
      </c>
      <c r="H32" s="8">
        <v>5.17</v>
      </c>
      <c r="I32" s="12">
        <v>0</v>
      </c>
    </row>
    <row r="33" spans="2:9" ht="15" customHeight="1" x14ac:dyDescent="0.2">
      <c r="B33" t="s">
        <v>90</v>
      </c>
      <c r="C33" s="12">
        <v>29</v>
      </c>
      <c r="D33" s="8">
        <v>3.19</v>
      </c>
      <c r="E33" s="12">
        <v>12</v>
      </c>
      <c r="F33" s="8">
        <v>4.4800000000000004</v>
      </c>
      <c r="G33" s="12">
        <v>17</v>
      </c>
      <c r="H33" s="8">
        <v>2.66</v>
      </c>
      <c r="I33" s="12">
        <v>0</v>
      </c>
    </row>
    <row r="34" spans="2:9" ht="15" customHeight="1" x14ac:dyDescent="0.2">
      <c r="B34" t="s">
        <v>95</v>
      </c>
      <c r="C34" s="12">
        <v>27</v>
      </c>
      <c r="D34" s="8">
        <v>2.97</v>
      </c>
      <c r="E34" s="12">
        <v>12</v>
      </c>
      <c r="F34" s="8">
        <v>4.4800000000000004</v>
      </c>
      <c r="G34" s="12">
        <v>15</v>
      </c>
      <c r="H34" s="8">
        <v>2.35</v>
      </c>
      <c r="I34" s="12">
        <v>0</v>
      </c>
    </row>
    <row r="35" spans="2:9" ht="15" customHeight="1" x14ac:dyDescent="0.2">
      <c r="B35" t="s">
        <v>103</v>
      </c>
      <c r="C35" s="12">
        <v>26</v>
      </c>
      <c r="D35" s="8">
        <v>2.86</v>
      </c>
      <c r="E35" s="12">
        <v>11</v>
      </c>
      <c r="F35" s="8">
        <v>4.0999999999999996</v>
      </c>
      <c r="G35" s="12">
        <v>15</v>
      </c>
      <c r="H35" s="8">
        <v>2.35</v>
      </c>
      <c r="I35" s="12">
        <v>0</v>
      </c>
    </row>
    <row r="36" spans="2:9" ht="15" customHeight="1" x14ac:dyDescent="0.2">
      <c r="B36" t="s">
        <v>101</v>
      </c>
      <c r="C36" s="12">
        <v>24</v>
      </c>
      <c r="D36" s="8">
        <v>2.64</v>
      </c>
      <c r="E36" s="12">
        <v>21</v>
      </c>
      <c r="F36" s="8">
        <v>7.84</v>
      </c>
      <c r="G36" s="12">
        <v>3</v>
      </c>
      <c r="H36" s="8">
        <v>0.47</v>
      </c>
      <c r="I36" s="12">
        <v>0</v>
      </c>
    </row>
    <row r="37" spans="2:9" ht="15" customHeight="1" x14ac:dyDescent="0.2">
      <c r="B37" t="s">
        <v>87</v>
      </c>
      <c r="C37" s="12">
        <v>23</v>
      </c>
      <c r="D37" s="8">
        <v>2.5299999999999998</v>
      </c>
      <c r="E37" s="12">
        <v>3</v>
      </c>
      <c r="F37" s="8">
        <v>1.1200000000000001</v>
      </c>
      <c r="G37" s="12">
        <v>20</v>
      </c>
      <c r="H37" s="8">
        <v>3.13</v>
      </c>
      <c r="I37" s="12">
        <v>0</v>
      </c>
    </row>
    <row r="38" spans="2:9" ht="15" customHeight="1" x14ac:dyDescent="0.2">
      <c r="B38" t="s">
        <v>91</v>
      </c>
      <c r="C38" s="12">
        <v>23</v>
      </c>
      <c r="D38" s="8">
        <v>2.5299999999999998</v>
      </c>
      <c r="E38" s="12">
        <v>8</v>
      </c>
      <c r="F38" s="8">
        <v>2.99</v>
      </c>
      <c r="G38" s="12">
        <v>15</v>
      </c>
      <c r="H38" s="8">
        <v>2.35</v>
      </c>
      <c r="I38" s="12">
        <v>0</v>
      </c>
    </row>
    <row r="39" spans="2:9" ht="15" customHeight="1" x14ac:dyDescent="0.2">
      <c r="B39" t="s">
        <v>88</v>
      </c>
      <c r="C39" s="12">
        <v>19</v>
      </c>
      <c r="D39" s="8">
        <v>2.09</v>
      </c>
      <c r="E39" s="12">
        <v>1</v>
      </c>
      <c r="F39" s="8">
        <v>0.37</v>
      </c>
      <c r="G39" s="12">
        <v>18</v>
      </c>
      <c r="H39" s="8">
        <v>2.82</v>
      </c>
      <c r="I39" s="12">
        <v>0</v>
      </c>
    </row>
    <row r="40" spans="2:9" ht="15" customHeight="1" x14ac:dyDescent="0.2">
      <c r="B40" t="s">
        <v>96</v>
      </c>
      <c r="C40" s="12">
        <v>19</v>
      </c>
      <c r="D40" s="8">
        <v>2.09</v>
      </c>
      <c r="E40" s="12">
        <v>3</v>
      </c>
      <c r="F40" s="8">
        <v>1.1200000000000001</v>
      </c>
      <c r="G40" s="12">
        <v>16</v>
      </c>
      <c r="H40" s="8">
        <v>2.5099999999999998</v>
      </c>
      <c r="I40" s="12">
        <v>0</v>
      </c>
    </row>
    <row r="41" spans="2:9" ht="15" customHeight="1" x14ac:dyDescent="0.2">
      <c r="B41" t="s">
        <v>117</v>
      </c>
      <c r="C41" s="12">
        <v>18</v>
      </c>
      <c r="D41" s="8">
        <v>1.98</v>
      </c>
      <c r="E41" s="12">
        <v>0</v>
      </c>
      <c r="F41" s="8">
        <v>0</v>
      </c>
      <c r="G41" s="12">
        <v>18</v>
      </c>
      <c r="H41" s="8">
        <v>2.82</v>
      </c>
      <c r="I41" s="12">
        <v>0</v>
      </c>
    </row>
    <row r="42" spans="2:9" ht="15" customHeight="1" x14ac:dyDescent="0.2">
      <c r="B42" t="s">
        <v>122</v>
      </c>
      <c r="C42" s="12">
        <v>15</v>
      </c>
      <c r="D42" s="8">
        <v>1.65</v>
      </c>
      <c r="E42" s="12">
        <v>2</v>
      </c>
      <c r="F42" s="8">
        <v>0.75</v>
      </c>
      <c r="G42" s="12">
        <v>13</v>
      </c>
      <c r="H42" s="8">
        <v>2.04</v>
      </c>
      <c r="I42" s="12">
        <v>0</v>
      </c>
    </row>
    <row r="43" spans="2:9" ht="15" customHeight="1" x14ac:dyDescent="0.2">
      <c r="B43" t="s">
        <v>99</v>
      </c>
      <c r="C43" s="12">
        <v>14</v>
      </c>
      <c r="D43" s="8">
        <v>1.54</v>
      </c>
      <c r="E43" s="12">
        <v>7</v>
      </c>
      <c r="F43" s="8">
        <v>2.61</v>
      </c>
      <c r="G43" s="12">
        <v>7</v>
      </c>
      <c r="H43" s="8">
        <v>1.1000000000000001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148</v>
      </c>
      <c r="C47" s="12">
        <v>28</v>
      </c>
      <c r="D47" s="8">
        <v>3.08</v>
      </c>
      <c r="E47" s="12">
        <v>5</v>
      </c>
      <c r="F47" s="8">
        <v>1.87</v>
      </c>
      <c r="G47" s="12">
        <v>23</v>
      </c>
      <c r="H47" s="8">
        <v>3.61</v>
      </c>
      <c r="I47" s="12">
        <v>0</v>
      </c>
    </row>
    <row r="48" spans="2:9" ht="15" customHeight="1" x14ac:dyDescent="0.2">
      <c r="B48" t="s">
        <v>203</v>
      </c>
      <c r="C48" s="12">
        <v>26</v>
      </c>
      <c r="D48" s="8">
        <v>2.86</v>
      </c>
      <c r="E48" s="12">
        <v>5</v>
      </c>
      <c r="F48" s="8">
        <v>1.87</v>
      </c>
      <c r="G48" s="12">
        <v>21</v>
      </c>
      <c r="H48" s="8">
        <v>3.29</v>
      </c>
      <c r="I48" s="12">
        <v>0</v>
      </c>
    </row>
    <row r="49" spans="2:9" ht="15" customHeight="1" x14ac:dyDescent="0.2">
      <c r="B49" t="s">
        <v>164</v>
      </c>
      <c r="C49" s="12">
        <v>26</v>
      </c>
      <c r="D49" s="8">
        <v>2.86</v>
      </c>
      <c r="E49" s="12">
        <v>22</v>
      </c>
      <c r="F49" s="8">
        <v>8.2100000000000009</v>
      </c>
      <c r="G49" s="12">
        <v>4</v>
      </c>
      <c r="H49" s="8">
        <v>0.63</v>
      </c>
      <c r="I49" s="12">
        <v>0</v>
      </c>
    </row>
    <row r="50" spans="2:9" ht="15" customHeight="1" x14ac:dyDescent="0.2">
      <c r="B50" t="s">
        <v>165</v>
      </c>
      <c r="C50" s="12">
        <v>26</v>
      </c>
      <c r="D50" s="8">
        <v>2.86</v>
      </c>
      <c r="E50" s="12">
        <v>15</v>
      </c>
      <c r="F50" s="8">
        <v>5.6</v>
      </c>
      <c r="G50" s="12">
        <v>11</v>
      </c>
      <c r="H50" s="8">
        <v>1.72</v>
      </c>
      <c r="I50" s="12">
        <v>0</v>
      </c>
    </row>
    <row r="51" spans="2:9" ht="15" customHeight="1" x14ac:dyDescent="0.2">
      <c r="B51" t="s">
        <v>167</v>
      </c>
      <c r="C51" s="12">
        <v>26</v>
      </c>
      <c r="D51" s="8">
        <v>2.86</v>
      </c>
      <c r="E51" s="12">
        <v>11</v>
      </c>
      <c r="F51" s="8">
        <v>4.0999999999999996</v>
      </c>
      <c r="G51" s="12">
        <v>15</v>
      </c>
      <c r="H51" s="8">
        <v>2.35</v>
      </c>
      <c r="I51" s="12">
        <v>0</v>
      </c>
    </row>
    <row r="52" spans="2:9" ht="15" customHeight="1" x14ac:dyDescent="0.2">
      <c r="B52" t="s">
        <v>163</v>
      </c>
      <c r="C52" s="12">
        <v>24</v>
      </c>
      <c r="D52" s="8">
        <v>2.64</v>
      </c>
      <c r="E52" s="12">
        <v>23</v>
      </c>
      <c r="F52" s="8">
        <v>8.58</v>
      </c>
      <c r="G52" s="12">
        <v>1</v>
      </c>
      <c r="H52" s="8">
        <v>0.16</v>
      </c>
      <c r="I52" s="12">
        <v>0</v>
      </c>
    </row>
    <row r="53" spans="2:9" ht="15" customHeight="1" x14ac:dyDescent="0.2">
      <c r="B53" t="s">
        <v>153</v>
      </c>
      <c r="C53" s="12">
        <v>21</v>
      </c>
      <c r="D53" s="8">
        <v>2.31</v>
      </c>
      <c r="E53" s="12">
        <v>2</v>
      </c>
      <c r="F53" s="8">
        <v>0.75</v>
      </c>
      <c r="G53" s="12">
        <v>19</v>
      </c>
      <c r="H53" s="8">
        <v>2.98</v>
      </c>
      <c r="I53" s="12">
        <v>0</v>
      </c>
    </row>
    <row r="54" spans="2:9" ht="15" customHeight="1" x14ac:dyDescent="0.2">
      <c r="B54" t="s">
        <v>156</v>
      </c>
      <c r="C54" s="12">
        <v>21</v>
      </c>
      <c r="D54" s="8">
        <v>2.31</v>
      </c>
      <c r="E54" s="12">
        <v>5</v>
      </c>
      <c r="F54" s="8">
        <v>1.87</v>
      </c>
      <c r="G54" s="12">
        <v>16</v>
      </c>
      <c r="H54" s="8">
        <v>2.5099999999999998</v>
      </c>
      <c r="I54" s="12">
        <v>0</v>
      </c>
    </row>
    <row r="55" spans="2:9" ht="15" customHeight="1" x14ac:dyDescent="0.2">
      <c r="B55" t="s">
        <v>150</v>
      </c>
      <c r="C55" s="12">
        <v>20</v>
      </c>
      <c r="D55" s="8">
        <v>2.2000000000000002</v>
      </c>
      <c r="E55" s="12">
        <v>10</v>
      </c>
      <c r="F55" s="8">
        <v>3.73</v>
      </c>
      <c r="G55" s="12">
        <v>10</v>
      </c>
      <c r="H55" s="8">
        <v>1.57</v>
      </c>
      <c r="I55" s="12">
        <v>0</v>
      </c>
    </row>
    <row r="56" spans="2:9" ht="15" customHeight="1" x14ac:dyDescent="0.2">
      <c r="B56" t="s">
        <v>149</v>
      </c>
      <c r="C56" s="12">
        <v>19</v>
      </c>
      <c r="D56" s="8">
        <v>2.09</v>
      </c>
      <c r="E56" s="12">
        <v>3</v>
      </c>
      <c r="F56" s="8">
        <v>1.1200000000000001</v>
      </c>
      <c r="G56" s="12">
        <v>16</v>
      </c>
      <c r="H56" s="8">
        <v>2.5099999999999998</v>
      </c>
      <c r="I56" s="12">
        <v>0</v>
      </c>
    </row>
    <row r="57" spans="2:9" ht="15" customHeight="1" x14ac:dyDescent="0.2">
      <c r="B57" t="s">
        <v>161</v>
      </c>
      <c r="C57" s="12">
        <v>19</v>
      </c>
      <c r="D57" s="8">
        <v>2.09</v>
      </c>
      <c r="E57" s="12">
        <v>13</v>
      </c>
      <c r="F57" s="8">
        <v>4.8499999999999996</v>
      </c>
      <c r="G57" s="12">
        <v>6</v>
      </c>
      <c r="H57" s="8">
        <v>0.94</v>
      </c>
      <c r="I57" s="12">
        <v>0</v>
      </c>
    </row>
    <row r="58" spans="2:9" ht="15" customHeight="1" x14ac:dyDescent="0.2">
      <c r="B58" t="s">
        <v>166</v>
      </c>
      <c r="C58" s="12">
        <v>19</v>
      </c>
      <c r="D58" s="8">
        <v>2.09</v>
      </c>
      <c r="E58" s="12">
        <v>16</v>
      </c>
      <c r="F58" s="8">
        <v>5.97</v>
      </c>
      <c r="G58" s="12">
        <v>3</v>
      </c>
      <c r="H58" s="8">
        <v>0.47</v>
      </c>
      <c r="I58" s="12">
        <v>0</v>
      </c>
    </row>
    <row r="59" spans="2:9" ht="15" customHeight="1" x14ac:dyDescent="0.2">
      <c r="B59" t="s">
        <v>157</v>
      </c>
      <c r="C59" s="12">
        <v>18</v>
      </c>
      <c r="D59" s="8">
        <v>1.98</v>
      </c>
      <c r="E59" s="12">
        <v>0</v>
      </c>
      <c r="F59" s="8">
        <v>0</v>
      </c>
      <c r="G59" s="12">
        <v>18</v>
      </c>
      <c r="H59" s="8">
        <v>2.82</v>
      </c>
      <c r="I59" s="12">
        <v>0</v>
      </c>
    </row>
    <row r="60" spans="2:9" ht="15" customHeight="1" x14ac:dyDescent="0.2">
      <c r="B60" t="s">
        <v>155</v>
      </c>
      <c r="C60" s="12">
        <v>16</v>
      </c>
      <c r="D60" s="8">
        <v>1.76</v>
      </c>
      <c r="E60" s="12">
        <v>4</v>
      </c>
      <c r="F60" s="8">
        <v>1.49</v>
      </c>
      <c r="G60" s="12">
        <v>12</v>
      </c>
      <c r="H60" s="8">
        <v>1.88</v>
      </c>
      <c r="I60" s="12">
        <v>0</v>
      </c>
    </row>
    <row r="61" spans="2:9" ht="15" customHeight="1" x14ac:dyDescent="0.2">
      <c r="B61" t="s">
        <v>162</v>
      </c>
      <c r="C61" s="12">
        <v>16</v>
      </c>
      <c r="D61" s="8">
        <v>1.76</v>
      </c>
      <c r="E61" s="12">
        <v>16</v>
      </c>
      <c r="F61" s="8">
        <v>5.97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158</v>
      </c>
      <c r="C62" s="12">
        <v>14</v>
      </c>
      <c r="D62" s="8">
        <v>1.54</v>
      </c>
      <c r="E62" s="12">
        <v>0</v>
      </c>
      <c r="F62" s="8">
        <v>0</v>
      </c>
      <c r="G62" s="12">
        <v>14</v>
      </c>
      <c r="H62" s="8">
        <v>2.19</v>
      </c>
      <c r="I62" s="12">
        <v>0</v>
      </c>
    </row>
    <row r="63" spans="2:9" ht="15" customHeight="1" x14ac:dyDescent="0.2">
      <c r="B63" t="s">
        <v>151</v>
      </c>
      <c r="C63" s="12">
        <v>13</v>
      </c>
      <c r="D63" s="8">
        <v>1.43</v>
      </c>
      <c r="E63" s="12">
        <v>1</v>
      </c>
      <c r="F63" s="8">
        <v>0.37</v>
      </c>
      <c r="G63" s="12">
        <v>12</v>
      </c>
      <c r="H63" s="8">
        <v>1.88</v>
      </c>
      <c r="I63" s="12">
        <v>0</v>
      </c>
    </row>
    <row r="64" spans="2:9" ht="15" customHeight="1" x14ac:dyDescent="0.2">
      <c r="B64" t="s">
        <v>152</v>
      </c>
      <c r="C64" s="12">
        <v>12</v>
      </c>
      <c r="D64" s="8">
        <v>1.32</v>
      </c>
      <c r="E64" s="12">
        <v>2</v>
      </c>
      <c r="F64" s="8">
        <v>0.75</v>
      </c>
      <c r="G64" s="12">
        <v>10</v>
      </c>
      <c r="H64" s="8">
        <v>1.57</v>
      </c>
      <c r="I64" s="12">
        <v>0</v>
      </c>
    </row>
    <row r="65" spans="2:9" ht="15" customHeight="1" x14ac:dyDescent="0.2">
      <c r="B65" t="s">
        <v>197</v>
      </c>
      <c r="C65" s="12">
        <v>11</v>
      </c>
      <c r="D65" s="8">
        <v>1.21</v>
      </c>
      <c r="E65" s="12">
        <v>5</v>
      </c>
      <c r="F65" s="8">
        <v>1.87</v>
      </c>
      <c r="G65" s="12">
        <v>6</v>
      </c>
      <c r="H65" s="8">
        <v>0.94</v>
      </c>
      <c r="I65" s="12">
        <v>0</v>
      </c>
    </row>
    <row r="66" spans="2:9" ht="15" customHeight="1" x14ac:dyDescent="0.2">
      <c r="B66" t="s">
        <v>154</v>
      </c>
      <c r="C66" s="12">
        <v>11</v>
      </c>
      <c r="D66" s="8">
        <v>1.21</v>
      </c>
      <c r="E66" s="12">
        <v>3</v>
      </c>
      <c r="F66" s="8">
        <v>1.1200000000000001</v>
      </c>
      <c r="G66" s="12">
        <v>8</v>
      </c>
      <c r="H66" s="8">
        <v>1.25</v>
      </c>
      <c r="I66" s="12">
        <v>0</v>
      </c>
    </row>
    <row r="67" spans="2:9" ht="15" customHeight="1" x14ac:dyDescent="0.2">
      <c r="B67" t="s">
        <v>160</v>
      </c>
      <c r="C67" s="12">
        <v>11</v>
      </c>
      <c r="D67" s="8">
        <v>1.21</v>
      </c>
      <c r="E67" s="12">
        <v>2</v>
      </c>
      <c r="F67" s="8">
        <v>0.75</v>
      </c>
      <c r="G67" s="12">
        <v>9</v>
      </c>
      <c r="H67" s="8">
        <v>1.41</v>
      </c>
      <c r="I67" s="12">
        <v>0</v>
      </c>
    </row>
    <row r="68" spans="2:9" ht="15" customHeight="1" x14ac:dyDescent="0.2">
      <c r="B68" t="s">
        <v>180</v>
      </c>
      <c r="C68" s="12">
        <v>11</v>
      </c>
      <c r="D68" s="8">
        <v>1.21</v>
      </c>
      <c r="E68" s="12">
        <v>2</v>
      </c>
      <c r="F68" s="8">
        <v>0.75</v>
      </c>
      <c r="G68" s="12">
        <v>9</v>
      </c>
      <c r="H68" s="8">
        <v>1.41</v>
      </c>
      <c r="I68" s="12">
        <v>0</v>
      </c>
    </row>
    <row r="70" spans="2:9" ht="15" customHeight="1" x14ac:dyDescent="0.2">
      <c r="B70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8AD7-D4F0-4F9F-B8F5-5C62EC99190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288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162</v>
      </c>
      <c r="D6" s="8">
        <v>18.86</v>
      </c>
      <c r="E6" s="12">
        <v>36</v>
      </c>
      <c r="F6" s="8">
        <v>9.6</v>
      </c>
      <c r="G6" s="12">
        <v>126</v>
      </c>
      <c r="H6" s="8">
        <v>26.36</v>
      </c>
      <c r="I6" s="12">
        <v>0</v>
      </c>
    </row>
    <row r="7" spans="2:9" ht="15" customHeight="1" x14ac:dyDescent="0.2">
      <c r="B7" t="s">
        <v>63</v>
      </c>
      <c r="C7" s="12">
        <v>42</v>
      </c>
      <c r="D7" s="8">
        <v>4.8899999999999997</v>
      </c>
      <c r="E7" s="12">
        <v>10</v>
      </c>
      <c r="F7" s="8">
        <v>2.67</v>
      </c>
      <c r="G7" s="12">
        <v>32</v>
      </c>
      <c r="H7" s="8">
        <v>6.69</v>
      </c>
      <c r="I7" s="12">
        <v>0</v>
      </c>
    </row>
    <row r="8" spans="2:9" ht="15" customHeight="1" x14ac:dyDescent="0.2">
      <c r="B8" t="s">
        <v>64</v>
      </c>
      <c r="C8" s="12">
        <v>3</v>
      </c>
      <c r="D8" s="8">
        <v>0.35</v>
      </c>
      <c r="E8" s="12">
        <v>0</v>
      </c>
      <c r="F8" s="8">
        <v>0</v>
      </c>
      <c r="G8" s="12">
        <v>3</v>
      </c>
      <c r="H8" s="8">
        <v>0.63</v>
      </c>
      <c r="I8" s="12">
        <v>0</v>
      </c>
    </row>
    <row r="9" spans="2:9" ht="15" customHeight="1" x14ac:dyDescent="0.2">
      <c r="B9" t="s">
        <v>65</v>
      </c>
      <c r="C9" s="12">
        <v>4</v>
      </c>
      <c r="D9" s="8">
        <v>0.47</v>
      </c>
      <c r="E9" s="12">
        <v>1</v>
      </c>
      <c r="F9" s="8">
        <v>0.27</v>
      </c>
      <c r="G9" s="12">
        <v>3</v>
      </c>
      <c r="H9" s="8">
        <v>0.63</v>
      </c>
      <c r="I9" s="12">
        <v>0</v>
      </c>
    </row>
    <row r="10" spans="2:9" ht="15" customHeight="1" x14ac:dyDescent="0.2">
      <c r="B10" t="s">
        <v>66</v>
      </c>
      <c r="C10" s="12">
        <v>26</v>
      </c>
      <c r="D10" s="8">
        <v>3.03</v>
      </c>
      <c r="E10" s="12">
        <v>2</v>
      </c>
      <c r="F10" s="8">
        <v>0.53</v>
      </c>
      <c r="G10" s="12">
        <v>24</v>
      </c>
      <c r="H10" s="8">
        <v>5.0199999999999996</v>
      </c>
      <c r="I10" s="12">
        <v>0</v>
      </c>
    </row>
    <row r="11" spans="2:9" ht="15" customHeight="1" x14ac:dyDescent="0.2">
      <c r="B11" t="s">
        <v>67</v>
      </c>
      <c r="C11" s="12">
        <v>166</v>
      </c>
      <c r="D11" s="8">
        <v>19.32</v>
      </c>
      <c r="E11" s="12">
        <v>62</v>
      </c>
      <c r="F11" s="8">
        <v>16.53</v>
      </c>
      <c r="G11" s="12">
        <v>104</v>
      </c>
      <c r="H11" s="8">
        <v>21.76</v>
      </c>
      <c r="I11" s="12">
        <v>0</v>
      </c>
    </row>
    <row r="12" spans="2:9" ht="15" customHeight="1" x14ac:dyDescent="0.2">
      <c r="B12" t="s">
        <v>68</v>
      </c>
      <c r="C12" s="12">
        <v>4</v>
      </c>
      <c r="D12" s="8">
        <v>0.47</v>
      </c>
      <c r="E12" s="12">
        <v>0</v>
      </c>
      <c r="F12" s="8">
        <v>0</v>
      </c>
      <c r="G12" s="12">
        <v>4</v>
      </c>
      <c r="H12" s="8">
        <v>0.84</v>
      </c>
      <c r="I12" s="12">
        <v>0</v>
      </c>
    </row>
    <row r="13" spans="2:9" ht="15" customHeight="1" x14ac:dyDescent="0.2">
      <c r="B13" t="s">
        <v>69</v>
      </c>
      <c r="C13" s="12">
        <v>97</v>
      </c>
      <c r="D13" s="8">
        <v>11.29</v>
      </c>
      <c r="E13" s="12">
        <v>26</v>
      </c>
      <c r="F13" s="8">
        <v>6.93</v>
      </c>
      <c r="G13" s="12">
        <v>71</v>
      </c>
      <c r="H13" s="8">
        <v>14.85</v>
      </c>
      <c r="I13" s="12">
        <v>0</v>
      </c>
    </row>
    <row r="14" spans="2:9" ht="15" customHeight="1" x14ac:dyDescent="0.2">
      <c r="B14" t="s">
        <v>70</v>
      </c>
      <c r="C14" s="12">
        <v>33</v>
      </c>
      <c r="D14" s="8">
        <v>3.84</v>
      </c>
      <c r="E14" s="12">
        <v>12</v>
      </c>
      <c r="F14" s="8">
        <v>3.2</v>
      </c>
      <c r="G14" s="12">
        <v>21</v>
      </c>
      <c r="H14" s="8">
        <v>4.3899999999999997</v>
      </c>
      <c r="I14" s="12">
        <v>0</v>
      </c>
    </row>
    <row r="15" spans="2:9" ht="15" customHeight="1" x14ac:dyDescent="0.2">
      <c r="B15" t="s">
        <v>71</v>
      </c>
      <c r="C15" s="12">
        <v>96</v>
      </c>
      <c r="D15" s="8">
        <v>11.18</v>
      </c>
      <c r="E15" s="12">
        <v>73</v>
      </c>
      <c r="F15" s="8">
        <v>19.47</v>
      </c>
      <c r="G15" s="12">
        <v>22</v>
      </c>
      <c r="H15" s="8">
        <v>4.5999999999999996</v>
      </c>
      <c r="I15" s="12">
        <v>0</v>
      </c>
    </row>
    <row r="16" spans="2:9" ht="15" customHeight="1" x14ac:dyDescent="0.2">
      <c r="B16" t="s">
        <v>72</v>
      </c>
      <c r="C16" s="12">
        <v>123</v>
      </c>
      <c r="D16" s="8">
        <v>14.32</v>
      </c>
      <c r="E16" s="12">
        <v>92</v>
      </c>
      <c r="F16" s="8">
        <v>24.53</v>
      </c>
      <c r="G16" s="12">
        <v>30</v>
      </c>
      <c r="H16" s="8">
        <v>6.28</v>
      </c>
      <c r="I16" s="12">
        <v>0</v>
      </c>
    </row>
    <row r="17" spans="2:9" ht="15" customHeight="1" x14ac:dyDescent="0.2">
      <c r="B17" t="s">
        <v>73</v>
      </c>
      <c r="C17" s="12">
        <v>21</v>
      </c>
      <c r="D17" s="8">
        <v>2.44</v>
      </c>
      <c r="E17" s="12">
        <v>17</v>
      </c>
      <c r="F17" s="8">
        <v>4.53</v>
      </c>
      <c r="G17" s="12">
        <v>4</v>
      </c>
      <c r="H17" s="8">
        <v>0.84</v>
      </c>
      <c r="I17" s="12">
        <v>0</v>
      </c>
    </row>
    <row r="18" spans="2:9" ht="15" customHeight="1" x14ac:dyDescent="0.2">
      <c r="B18" t="s">
        <v>74</v>
      </c>
      <c r="C18" s="12">
        <v>42</v>
      </c>
      <c r="D18" s="8">
        <v>4.8899999999999997</v>
      </c>
      <c r="E18" s="12">
        <v>29</v>
      </c>
      <c r="F18" s="8">
        <v>7.73</v>
      </c>
      <c r="G18" s="12">
        <v>12</v>
      </c>
      <c r="H18" s="8">
        <v>2.5099999999999998</v>
      </c>
      <c r="I18" s="12">
        <v>0</v>
      </c>
    </row>
    <row r="19" spans="2:9" ht="15" customHeight="1" x14ac:dyDescent="0.2">
      <c r="B19" t="s">
        <v>75</v>
      </c>
      <c r="C19" s="12">
        <v>40</v>
      </c>
      <c r="D19" s="8">
        <v>4.66</v>
      </c>
      <c r="E19" s="12">
        <v>15</v>
      </c>
      <c r="F19" s="8">
        <v>4</v>
      </c>
      <c r="G19" s="12">
        <v>22</v>
      </c>
      <c r="H19" s="8">
        <v>4.5999999999999996</v>
      </c>
      <c r="I19" s="12">
        <v>1</v>
      </c>
    </row>
    <row r="20" spans="2:9" ht="15" customHeight="1" x14ac:dyDescent="0.2">
      <c r="B20" s="9" t="s">
        <v>248</v>
      </c>
      <c r="C20" s="12">
        <f>SUM(LTBL_12233[総数／事業所数])</f>
        <v>859</v>
      </c>
      <c r="E20" s="12">
        <f>SUBTOTAL(109,LTBL_12233[個人／事業所数])</f>
        <v>375</v>
      </c>
      <c r="G20" s="12">
        <f>SUBTOTAL(109,LTBL_12233[法人／事業所数])</f>
        <v>478</v>
      </c>
      <c r="I20" s="12">
        <f>SUBTOTAL(109,LTBL_12233[法人以外の団体／事業所数])</f>
        <v>1</v>
      </c>
    </row>
    <row r="21" spans="2:9" ht="15" customHeight="1" x14ac:dyDescent="0.2">
      <c r="E21" s="11">
        <f>LTBL_12233[[#Totals],[個人／事業所数]]/LTBL_12233[[#Totals],[総数／事業所数]]</f>
        <v>0.43655413271245636</v>
      </c>
      <c r="G21" s="11">
        <f>LTBL_12233[[#Totals],[法人／事業所数]]/LTBL_12233[[#Totals],[総数／事業所数]]</f>
        <v>0.55646100116414432</v>
      </c>
      <c r="I21" s="11">
        <f>LTBL_12233[[#Totals],[法人以外の団体／事業所数]]/LTBL_12233[[#Totals],[総数／事業所数]]</f>
        <v>1.1641443538998836E-3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98</v>
      </c>
      <c r="D24" s="8">
        <v>11.41</v>
      </c>
      <c r="E24" s="12">
        <v>83</v>
      </c>
      <c r="F24" s="8">
        <v>22.13</v>
      </c>
      <c r="G24" s="12">
        <v>15</v>
      </c>
      <c r="H24" s="8">
        <v>3.14</v>
      </c>
      <c r="I24" s="12">
        <v>0</v>
      </c>
    </row>
    <row r="25" spans="2:9" ht="15" customHeight="1" x14ac:dyDescent="0.2">
      <c r="B25" t="s">
        <v>97</v>
      </c>
      <c r="C25" s="12">
        <v>87</v>
      </c>
      <c r="D25" s="8">
        <v>10.130000000000001</v>
      </c>
      <c r="E25" s="12">
        <v>71</v>
      </c>
      <c r="F25" s="8">
        <v>18.93</v>
      </c>
      <c r="G25" s="12">
        <v>16</v>
      </c>
      <c r="H25" s="8">
        <v>3.35</v>
      </c>
      <c r="I25" s="12">
        <v>0</v>
      </c>
    </row>
    <row r="26" spans="2:9" ht="15" customHeight="1" x14ac:dyDescent="0.2">
      <c r="B26" t="s">
        <v>84</v>
      </c>
      <c r="C26" s="12">
        <v>71</v>
      </c>
      <c r="D26" s="8">
        <v>8.27</v>
      </c>
      <c r="E26" s="12">
        <v>10</v>
      </c>
      <c r="F26" s="8">
        <v>2.67</v>
      </c>
      <c r="G26" s="12">
        <v>61</v>
      </c>
      <c r="H26" s="8">
        <v>12.76</v>
      </c>
      <c r="I26" s="12">
        <v>0</v>
      </c>
    </row>
    <row r="27" spans="2:9" ht="15" customHeight="1" x14ac:dyDescent="0.2">
      <c r="B27" t="s">
        <v>94</v>
      </c>
      <c r="C27" s="12">
        <v>70</v>
      </c>
      <c r="D27" s="8">
        <v>8.15</v>
      </c>
      <c r="E27" s="12">
        <v>26</v>
      </c>
      <c r="F27" s="8">
        <v>6.93</v>
      </c>
      <c r="G27" s="12">
        <v>44</v>
      </c>
      <c r="H27" s="8">
        <v>9.2100000000000009</v>
      </c>
      <c r="I27" s="12">
        <v>0</v>
      </c>
    </row>
    <row r="28" spans="2:9" ht="15" customHeight="1" x14ac:dyDescent="0.2">
      <c r="B28" t="s">
        <v>85</v>
      </c>
      <c r="C28" s="12">
        <v>53</v>
      </c>
      <c r="D28" s="8">
        <v>6.17</v>
      </c>
      <c r="E28" s="12">
        <v>21</v>
      </c>
      <c r="F28" s="8">
        <v>5.6</v>
      </c>
      <c r="G28" s="12">
        <v>32</v>
      </c>
      <c r="H28" s="8">
        <v>6.69</v>
      </c>
      <c r="I28" s="12">
        <v>0</v>
      </c>
    </row>
    <row r="29" spans="2:9" ht="15" customHeight="1" x14ac:dyDescent="0.2">
      <c r="B29" t="s">
        <v>91</v>
      </c>
      <c r="C29" s="12">
        <v>39</v>
      </c>
      <c r="D29" s="8">
        <v>4.54</v>
      </c>
      <c r="E29" s="12">
        <v>18</v>
      </c>
      <c r="F29" s="8">
        <v>4.8</v>
      </c>
      <c r="G29" s="12">
        <v>21</v>
      </c>
      <c r="H29" s="8">
        <v>4.3899999999999997</v>
      </c>
      <c r="I29" s="12">
        <v>0</v>
      </c>
    </row>
    <row r="30" spans="2:9" ht="15" customHeight="1" x14ac:dyDescent="0.2">
      <c r="B30" t="s">
        <v>86</v>
      </c>
      <c r="C30" s="12">
        <v>38</v>
      </c>
      <c r="D30" s="8">
        <v>4.42</v>
      </c>
      <c r="E30" s="12">
        <v>5</v>
      </c>
      <c r="F30" s="8">
        <v>1.33</v>
      </c>
      <c r="G30" s="12">
        <v>33</v>
      </c>
      <c r="H30" s="8">
        <v>6.9</v>
      </c>
      <c r="I30" s="12">
        <v>0</v>
      </c>
    </row>
    <row r="31" spans="2:9" ht="15" customHeight="1" x14ac:dyDescent="0.2">
      <c r="B31" t="s">
        <v>92</v>
      </c>
      <c r="C31" s="12">
        <v>37</v>
      </c>
      <c r="D31" s="8">
        <v>4.3099999999999996</v>
      </c>
      <c r="E31" s="12">
        <v>14</v>
      </c>
      <c r="F31" s="8">
        <v>3.73</v>
      </c>
      <c r="G31" s="12">
        <v>23</v>
      </c>
      <c r="H31" s="8">
        <v>4.8099999999999996</v>
      </c>
      <c r="I31" s="12">
        <v>0</v>
      </c>
    </row>
    <row r="32" spans="2:9" ht="15" customHeight="1" x14ac:dyDescent="0.2">
      <c r="B32" t="s">
        <v>101</v>
      </c>
      <c r="C32" s="12">
        <v>36</v>
      </c>
      <c r="D32" s="8">
        <v>4.1900000000000004</v>
      </c>
      <c r="E32" s="12">
        <v>29</v>
      </c>
      <c r="F32" s="8">
        <v>7.73</v>
      </c>
      <c r="G32" s="12">
        <v>7</v>
      </c>
      <c r="H32" s="8">
        <v>1.46</v>
      </c>
      <c r="I32" s="12">
        <v>0</v>
      </c>
    </row>
    <row r="33" spans="2:9" ht="15" customHeight="1" x14ac:dyDescent="0.2">
      <c r="B33" t="s">
        <v>90</v>
      </c>
      <c r="C33" s="12">
        <v>22</v>
      </c>
      <c r="D33" s="8">
        <v>2.56</v>
      </c>
      <c r="E33" s="12">
        <v>15</v>
      </c>
      <c r="F33" s="8">
        <v>4</v>
      </c>
      <c r="G33" s="12">
        <v>7</v>
      </c>
      <c r="H33" s="8">
        <v>1.46</v>
      </c>
      <c r="I33" s="12">
        <v>0</v>
      </c>
    </row>
    <row r="34" spans="2:9" ht="15" customHeight="1" x14ac:dyDescent="0.2">
      <c r="B34" t="s">
        <v>93</v>
      </c>
      <c r="C34" s="12">
        <v>21</v>
      </c>
      <c r="D34" s="8">
        <v>2.44</v>
      </c>
      <c r="E34" s="12">
        <v>0</v>
      </c>
      <c r="F34" s="8">
        <v>0</v>
      </c>
      <c r="G34" s="12">
        <v>21</v>
      </c>
      <c r="H34" s="8">
        <v>4.3899999999999997</v>
      </c>
      <c r="I34" s="12">
        <v>0</v>
      </c>
    </row>
    <row r="35" spans="2:9" ht="15" customHeight="1" x14ac:dyDescent="0.2">
      <c r="B35" t="s">
        <v>100</v>
      </c>
      <c r="C35" s="12">
        <v>21</v>
      </c>
      <c r="D35" s="8">
        <v>2.44</v>
      </c>
      <c r="E35" s="12">
        <v>17</v>
      </c>
      <c r="F35" s="8">
        <v>4.53</v>
      </c>
      <c r="G35" s="12">
        <v>4</v>
      </c>
      <c r="H35" s="8">
        <v>0.84</v>
      </c>
      <c r="I35" s="12">
        <v>0</v>
      </c>
    </row>
    <row r="36" spans="2:9" ht="15" customHeight="1" x14ac:dyDescent="0.2">
      <c r="B36" t="s">
        <v>114</v>
      </c>
      <c r="C36" s="12">
        <v>19</v>
      </c>
      <c r="D36" s="8">
        <v>2.21</v>
      </c>
      <c r="E36" s="12">
        <v>2</v>
      </c>
      <c r="F36" s="8">
        <v>0.53</v>
      </c>
      <c r="G36" s="12">
        <v>17</v>
      </c>
      <c r="H36" s="8">
        <v>3.56</v>
      </c>
      <c r="I36" s="12">
        <v>0</v>
      </c>
    </row>
    <row r="37" spans="2:9" ht="15" customHeight="1" x14ac:dyDescent="0.2">
      <c r="B37" t="s">
        <v>96</v>
      </c>
      <c r="C37" s="12">
        <v>18</v>
      </c>
      <c r="D37" s="8">
        <v>2.1</v>
      </c>
      <c r="E37" s="12">
        <v>4</v>
      </c>
      <c r="F37" s="8">
        <v>1.07</v>
      </c>
      <c r="G37" s="12">
        <v>14</v>
      </c>
      <c r="H37" s="8">
        <v>2.93</v>
      </c>
      <c r="I37" s="12">
        <v>0</v>
      </c>
    </row>
    <row r="38" spans="2:9" ht="15" customHeight="1" x14ac:dyDescent="0.2">
      <c r="B38" t="s">
        <v>103</v>
      </c>
      <c r="C38" s="12">
        <v>17</v>
      </c>
      <c r="D38" s="8">
        <v>1.98</v>
      </c>
      <c r="E38" s="12">
        <v>13</v>
      </c>
      <c r="F38" s="8">
        <v>3.47</v>
      </c>
      <c r="G38" s="12">
        <v>4</v>
      </c>
      <c r="H38" s="8">
        <v>0.84</v>
      </c>
      <c r="I38" s="12">
        <v>0</v>
      </c>
    </row>
    <row r="39" spans="2:9" ht="15" customHeight="1" x14ac:dyDescent="0.2">
      <c r="B39" t="s">
        <v>89</v>
      </c>
      <c r="C39" s="12">
        <v>15</v>
      </c>
      <c r="D39" s="8">
        <v>1.75</v>
      </c>
      <c r="E39" s="12">
        <v>9</v>
      </c>
      <c r="F39" s="8">
        <v>2.4</v>
      </c>
      <c r="G39" s="12">
        <v>6</v>
      </c>
      <c r="H39" s="8">
        <v>1.26</v>
      </c>
      <c r="I39" s="12">
        <v>0</v>
      </c>
    </row>
    <row r="40" spans="2:9" ht="15" customHeight="1" x14ac:dyDescent="0.2">
      <c r="B40" t="s">
        <v>88</v>
      </c>
      <c r="C40" s="12">
        <v>14</v>
      </c>
      <c r="D40" s="8">
        <v>1.63</v>
      </c>
      <c r="E40" s="12">
        <v>0</v>
      </c>
      <c r="F40" s="8">
        <v>0</v>
      </c>
      <c r="G40" s="12">
        <v>14</v>
      </c>
      <c r="H40" s="8">
        <v>2.93</v>
      </c>
      <c r="I40" s="12">
        <v>0</v>
      </c>
    </row>
    <row r="41" spans="2:9" ht="15" customHeight="1" x14ac:dyDescent="0.2">
      <c r="B41" t="s">
        <v>95</v>
      </c>
      <c r="C41" s="12">
        <v>14</v>
      </c>
      <c r="D41" s="8">
        <v>1.63</v>
      </c>
      <c r="E41" s="12">
        <v>8</v>
      </c>
      <c r="F41" s="8">
        <v>2.13</v>
      </c>
      <c r="G41" s="12">
        <v>6</v>
      </c>
      <c r="H41" s="8">
        <v>1.26</v>
      </c>
      <c r="I41" s="12">
        <v>0</v>
      </c>
    </row>
    <row r="42" spans="2:9" ht="15" customHeight="1" x14ac:dyDescent="0.2">
      <c r="B42" t="s">
        <v>99</v>
      </c>
      <c r="C42" s="12">
        <v>14</v>
      </c>
      <c r="D42" s="8">
        <v>1.63</v>
      </c>
      <c r="E42" s="12">
        <v>5</v>
      </c>
      <c r="F42" s="8">
        <v>1.33</v>
      </c>
      <c r="G42" s="12">
        <v>9</v>
      </c>
      <c r="H42" s="8">
        <v>1.88</v>
      </c>
      <c r="I42" s="12">
        <v>0</v>
      </c>
    </row>
    <row r="43" spans="2:9" ht="15" customHeight="1" x14ac:dyDescent="0.2">
      <c r="B43" t="s">
        <v>104</v>
      </c>
      <c r="C43" s="12">
        <v>13</v>
      </c>
      <c r="D43" s="8">
        <v>1.51</v>
      </c>
      <c r="E43" s="12">
        <v>4</v>
      </c>
      <c r="F43" s="8">
        <v>1.07</v>
      </c>
      <c r="G43" s="12">
        <v>9</v>
      </c>
      <c r="H43" s="8">
        <v>1.88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48</v>
      </c>
      <c r="D47" s="8">
        <v>5.59</v>
      </c>
      <c r="E47" s="12">
        <v>46</v>
      </c>
      <c r="F47" s="8">
        <v>12.27</v>
      </c>
      <c r="G47" s="12">
        <v>2</v>
      </c>
      <c r="H47" s="8">
        <v>0.42</v>
      </c>
      <c r="I47" s="12">
        <v>0</v>
      </c>
    </row>
    <row r="48" spans="2:9" ht="15" customHeight="1" x14ac:dyDescent="0.2">
      <c r="B48" t="s">
        <v>158</v>
      </c>
      <c r="C48" s="12">
        <v>41</v>
      </c>
      <c r="D48" s="8">
        <v>4.7699999999999996</v>
      </c>
      <c r="E48" s="12">
        <v>21</v>
      </c>
      <c r="F48" s="8">
        <v>5.6</v>
      </c>
      <c r="G48" s="12">
        <v>20</v>
      </c>
      <c r="H48" s="8">
        <v>4.18</v>
      </c>
      <c r="I48" s="12">
        <v>0</v>
      </c>
    </row>
    <row r="49" spans="2:9" ht="15" customHeight="1" x14ac:dyDescent="0.2">
      <c r="B49" t="s">
        <v>163</v>
      </c>
      <c r="C49" s="12">
        <v>33</v>
      </c>
      <c r="D49" s="8">
        <v>3.84</v>
      </c>
      <c r="E49" s="12">
        <v>30</v>
      </c>
      <c r="F49" s="8">
        <v>8</v>
      </c>
      <c r="G49" s="12">
        <v>3</v>
      </c>
      <c r="H49" s="8">
        <v>0.63</v>
      </c>
      <c r="I49" s="12">
        <v>0</v>
      </c>
    </row>
    <row r="50" spans="2:9" ht="15" customHeight="1" x14ac:dyDescent="0.2">
      <c r="B50" t="s">
        <v>161</v>
      </c>
      <c r="C50" s="12">
        <v>29</v>
      </c>
      <c r="D50" s="8">
        <v>3.38</v>
      </c>
      <c r="E50" s="12">
        <v>22</v>
      </c>
      <c r="F50" s="8">
        <v>5.87</v>
      </c>
      <c r="G50" s="12">
        <v>7</v>
      </c>
      <c r="H50" s="8">
        <v>1.46</v>
      </c>
      <c r="I50" s="12">
        <v>0</v>
      </c>
    </row>
    <row r="51" spans="2:9" ht="15" customHeight="1" x14ac:dyDescent="0.2">
      <c r="B51" t="s">
        <v>162</v>
      </c>
      <c r="C51" s="12">
        <v>28</v>
      </c>
      <c r="D51" s="8">
        <v>3.26</v>
      </c>
      <c r="E51" s="12">
        <v>26</v>
      </c>
      <c r="F51" s="8">
        <v>6.93</v>
      </c>
      <c r="G51" s="12">
        <v>2</v>
      </c>
      <c r="H51" s="8">
        <v>0.42</v>
      </c>
      <c r="I51" s="12">
        <v>0</v>
      </c>
    </row>
    <row r="52" spans="2:9" ht="15" customHeight="1" x14ac:dyDescent="0.2">
      <c r="B52" t="s">
        <v>155</v>
      </c>
      <c r="C52" s="12">
        <v>24</v>
      </c>
      <c r="D52" s="8">
        <v>2.79</v>
      </c>
      <c r="E52" s="12">
        <v>10</v>
      </c>
      <c r="F52" s="8">
        <v>2.67</v>
      </c>
      <c r="G52" s="12">
        <v>14</v>
      </c>
      <c r="H52" s="8">
        <v>2.93</v>
      </c>
      <c r="I52" s="12">
        <v>0</v>
      </c>
    </row>
    <row r="53" spans="2:9" ht="15" customHeight="1" x14ac:dyDescent="0.2">
      <c r="B53" t="s">
        <v>150</v>
      </c>
      <c r="C53" s="12">
        <v>23</v>
      </c>
      <c r="D53" s="8">
        <v>2.68</v>
      </c>
      <c r="E53" s="12">
        <v>5</v>
      </c>
      <c r="F53" s="8">
        <v>1.33</v>
      </c>
      <c r="G53" s="12">
        <v>18</v>
      </c>
      <c r="H53" s="8">
        <v>3.77</v>
      </c>
      <c r="I53" s="12">
        <v>0</v>
      </c>
    </row>
    <row r="54" spans="2:9" ht="15" customHeight="1" x14ac:dyDescent="0.2">
      <c r="B54" t="s">
        <v>166</v>
      </c>
      <c r="C54" s="12">
        <v>23</v>
      </c>
      <c r="D54" s="8">
        <v>2.68</v>
      </c>
      <c r="E54" s="12">
        <v>18</v>
      </c>
      <c r="F54" s="8">
        <v>4.8</v>
      </c>
      <c r="G54" s="12">
        <v>5</v>
      </c>
      <c r="H54" s="8">
        <v>1.05</v>
      </c>
      <c r="I54" s="12">
        <v>0</v>
      </c>
    </row>
    <row r="55" spans="2:9" ht="15" customHeight="1" x14ac:dyDescent="0.2">
      <c r="B55" t="s">
        <v>148</v>
      </c>
      <c r="C55" s="12">
        <v>17</v>
      </c>
      <c r="D55" s="8">
        <v>1.98</v>
      </c>
      <c r="E55" s="12">
        <v>3</v>
      </c>
      <c r="F55" s="8">
        <v>0.8</v>
      </c>
      <c r="G55" s="12">
        <v>14</v>
      </c>
      <c r="H55" s="8">
        <v>2.93</v>
      </c>
      <c r="I55" s="12">
        <v>0</v>
      </c>
    </row>
    <row r="56" spans="2:9" ht="15" customHeight="1" x14ac:dyDescent="0.2">
      <c r="B56" t="s">
        <v>153</v>
      </c>
      <c r="C56" s="12">
        <v>17</v>
      </c>
      <c r="D56" s="8">
        <v>1.98</v>
      </c>
      <c r="E56" s="12">
        <v>3</v>
      </c>
      <c r="F56" s="8">
        <v>0.8</v>
      </c>
      <c r="G56" s="12">
        <v>14</v>
      </c>
      <c r="H56" s="8">
        <v>2.93</v>
      </c>
      <c r="I56" s="12">
        <v>0</v>
      </c>
    </row>
    <row r="57" spans="2:9" ht="15" customHeight="1" x14ac:dyDescent="0.2">
      <c r="B57" t="s">
        <v>167</v>
      </c>
      <c r="C57" s="12">
        <v>17</v>
      </c>
      <c r="D57" s="8">
        <v>1.98</v>
      </c>
      <c r="E57" s="12">
        <v>13</v>
      </c>
      <c r="F57" s="8">
        <v>3.47</v>
      </c>
      <c r="G57" s="12">
        <v>4</v>
      </c>
      <c r="H57" s="8">
        <v>0.84</v>
      </c>
      <c r="I57" s="12">
        <v>0</v>
      </c>
    </row>
    <row r="58" spans="2:9" ht="15" customHeight="1" x14ac:dyDescent="0.2">
      <c r="B58" t="s">
        <v>149</v>
      </c>
      <c r="C58" s="12">
        <v>16</v>
      </c>
      <c r="D58" s="8">
        <v>1.86</v>
      </c>
      <c r="E58" s="12">
        <v>1</v>
      </c>
      <c r="F58" s="8">
        <v>0.27</v>
      </c>
      <c r="G58" s="12">
        <v>15</v>
      </c>
      <c r="H58" s="8">
        <v>3.14</v>
      </c>
      <c r="I58" s="12">
        <v>0</v>
      </c>
    </row>
    <row r="59" spans="2:9" ht="15" customHeight="1" x14ac:dyDescent="0.2">
      <c r="B59" t="s">
        <v>152</v>
      </c>
      <c r="C59" s="12">
        <v>16</v>
      </c>
      <c r="D59" s="8">
        <v>1.86</v>
      </c>
      <c r="E59" s="12">
        <v>2</v>
      </c>
      <c r="F59" s="8">
        <v>0.53</v>
      </c>
      <c r="G59" s="12">
        <v>14</v>
      </c>
      <c r="H59" s="8">
        <v>2.93</v>
      </c>
      <c r="I59" s="12">
        <v>0</v>
      </c>
    </row>
    <row r="60" spans="2:9" ht="15" customHeight="1" x14ac:dyDescent="0.2">
      <c r="B60" t="s">
        <v>157</v>
      </c>
      <c r="C60" s="12">
        <v>16</v>
      </c>
      <c r="D60" s="8">
        <v>1.86</v>
      </c>
      <c r="E60" s="12">
        <v>4</v>
      </c>
      <c r="F60" s="8">
        <v>1.07</v>
      </c>
      <c r="G60" s="12">
        <v>12</v>
      </c>
      <c r="H60" s="8">
        <v>2.5099999999999998</v>
      </c>
      <c r="I60" s="12">
        <v>0</v>
      </c>
    </row>
    <row r="61" spans="2:9" ht="15" customHeight="1" x14ac:dyDescent="0.2">
      <c r="B61" t="s">
        <v>204</v>
      </c>
      <c r="C61" s="12">
        <v>14</v>
      </c>
      <c r="D61" s="8">
        <v>1.63</v>
      </c>
      <c r="E61" s="12">
        <v>7</v>
      </c>
      <c r="F61" s="8">
        <v>1.87</v>
      </c>
      <c r="G61" s="12">
        <v>7</v>
      </c>
      <c r="H61" s="8">
        <v>1.46</v>
      </c>
      <c r="I61" s="12">
        <v>0</v>
      </c>
    </row>
    <row r="62" spans="2:9" ht="15" customHeight="1" x14ac:dyDescent="0.2">
      <c r="B62" t="s">
        <v>171</v>
      </c>
      <c r="C62" s="12">
        <v>13</v>
      </c>
      <c r="D62" s="8">
        <v>1.51</v>
      </c>
      <c r="E62" s="12">
        <v>0</v>
      </c>
      <c r="F62" s="8">
        <v>0</v>
      </c>
      <c r="G62" s="12">
        <v>13</v>
      </c>
      <c r="H62" s="8">
        <v>2.72</v>
      </c>
      <c r="I62" s="12">
        <v>0</v>
      </c>
    </row>
    <row r="63" spans="2:9" ht="15" customHeight="1" x14ac:dyDescent="0.2">
      <c r="B63" t="s">
        <v>165</v>
      </c>
      <c r="C63" s="12">
        <v>13</v>
      </c>
      <c r="D63" s="8">
        <v>1.51</v>
      </c>
      <c r="E63" s="12">
        <v>11</v>
      </c>
      <c r="F63" s="8">
        <v>2.93</v>
      </c>
      <c r="G63" s="12">
        <v>2</v>
      </c>
      <c r="H63" s="8">
        <v>0.42</v>
      </c>
      <c r="I63" s="12">
        <v>0</v>
      </c>
    </row>
    <row r="64" spans="2:9" ht="15" customHeight="1" x14ac:dyDescent="0.2">
      <c r="B64" t="s">
        <v>170</v>
      </c>
      <c r="C64" s="12">
        <v>13</v>
      </c>
      <c r="D64" s="8">
        <v>1.51</v>
      </c>
      <c r="E64" s="12">
        <v>11</v>
      </c>
      <c r="F64" s="8">
        <v>2.93</v>
      </c>
      <c r="G64" s="12">
        <v>2</v>
      </c>
      <c r="H64" s="8">
        <v>0.42</v>
      </c>
      <c r="I64" s="12">
        <v>0</v>
      </c>
    </row>
    <row r="65" spans="2:9" ht="15" customHeight="1" x14ac:dyDescent="0.2">
      <c r="B65" t="s">
        <v>151</v>
      </c>
      <c r="C65" s="12">
        <v>12</v>
      </c>
      <c r="D65" s="8">
        <v>1.4</v>
      </c>
      <c r="E65" s="12">
        <v>1</v>
      </c>
      <c r="F65" s="8">
        <v>0.27</v>
      </c>
      <c r="G65" s="12">
        <v>11</v>
      </c>
      <c r="H65" s="8">
        <v>2.2999999999999998</v>
      </c>
      <c r="I65" s="12">
        <v>0</v>
      </c>
    </row>
    <row r="66" spans="2:9" ht="15" customHeight="1" x14ac:dyDescent="0.2">
      <c r="B66" t="s">
        <v>156</v>
      </c>
      <c r="C66" s="12">
        <v>11</v>
      </c>
      <c r="D66" s="8">
        <v>1.28</v>
      </c>
      <c r="E66" s="12">
        <v>5</v>
      </c>
      <c r="F66" s="8">
        <v>1.33</v>
      </c>
      <c r="G66" s="12">
        <v>6</v>
      </c>
      <c r="H66" s="8">
        <v>1.26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76074-0F72-4E76-AE2E-D05EC4979AB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289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223</v>
      </c>
      <c r="D6" s="8">
        <v>18.68</v>
      </c>
      <c r="E6" s="12">
        <v>133</v>
      </c>
      <c r="F6" s="8">
        <v>16.920000000000002</v>
      </c>
      <c r="G6" s="12">
        <v>90</v>
      </c>
      <c r="H6" s="8">
        <v>22.5</v>
      </c>
      <c r="I6" s="12">
        <v>0</v>
      </c>
    </row>
    <row r="7" spans="2:9" ht="15" customHeight="1" x14ac:dyDescent="0.2">
      <c r="B7" t="s">
        <v>63</v>
      </c>
      <c r="C7" s="12">
        <v>82</v>
      </c>
      <c r="D7" s="8">
        <v>6.87</v>
      </c>
      <c r="E7" s="12">
        <v>42</v>
      </c>
      <c r="F7" s="8">
        <v>5.34</v>
      </c>
      <c r="G7" s="12">
        <v>39</v>
      </c>
      <c r="H7" s="8">
        <v>9.75</v>
      </c>
      <c r="I7" s="12">
        <v>1</v>
      </c>
    </row>
    <row r="8" spans="2:9" ht="15" customHeight="1" x14ac:dyDescent="0.2">
      <c r="B8" t="s">
        <v>64</v>
      </c>
      <c r="C8" s="12">
        <v>3</v>
      </c>
      <c r="D8" s="8">
        <v>0.25</v>
      </c>
      <c r="E8" s="12">
        <v>0</v>
      </c>
      <c r="F8" s="8">
        <v>0</v>
      </c>
      <c r="G8" s="12">
        <v>2</v>
      </c>
      <c r="H8" s="8">
        <v>0.5</v>
      </c>
      <c r="I8" s="12">
        <v>0</v>
      </c>
    </row>
    <row r="9" spans="2:9" ht="15" customHeight="1" x14ac:dyDescent="0.2">
      <c r="B9" t="s">
        <v>65</v>
      </c>
      <c r="C9" s="12">
        <v>6</v>
      </c>
      <c r="D9" s="8">
        <v>0.5</v>
      </c>
      <c r="E9" s="12">
        <v>2</v>
      </c>
      <c r="F9" s="8">
        <v>0.25</v>
      </c>
      <c r="G9" s="12">
        <v>4</v>
      </c>
      <c r="H9" s="8">
        <v>1</v>
      </c>
      <c r="I9" s="12">
        <v>0</v>
      </c>
    </row>
    <row r="10" spans="2:9" ht="15" customHeight="1" x14ac:dyDescent="0.2">
      <c r="B10" t="s">
        <v>66</v>
      </c>
      <c r="C10" s="12">
        <v>13</v>
      </c>
      <c r="D10" s="8">
        <v>1.0900000000000001</v>
      </c>
      <c r="E10" s="12">
        <v>2</v>
      </c>
      <c r="F10" s="8">
        <v>0.25</v>
      </c>
      <c r="G10" s="12">
        <v>11</v>
      </c>
      <c r="H10" s="8">
        <v>2.75</v>
      </c>
      <c r="I10" s="12">
        <v>0</v>
      </c>
    </row>
    <row r="11" spans="2:9" ht="15" customHeight="1" x14ac:dyDescent="0.2">
      <c r="B11" t="s">
        <v>67</v>
      </c>
      <c r="C11" s="12">
        <v>280</v>
      </c>
      <c r="D11" s="8">
        <v>23.45</v>
      </c>
      <c r="E11" s="12">
        <v>170</v>
      </c>
      <c r="F11" s="8">
        <v>21.63</v>
      </c>
      <c r="G11" s="12">
        <v>110</v>
      </c>
      <c r="H11" s="8">
        <v>27.5</v>
      </c>
      <c r="I11" s="12">
        <v>0</v>
      </c>
    </row>
    <row r="12" spans="2:9" ht="15" customHeight="1" x14ac:dyDescent="0.2">
      <c r="B12" t="s">
        <v>68</v>
      </c>
      <c r="C12" s="12">
        <v>4</v>
      </c>
      <c r="D12" s="8">
        <v>0.34</v>
      </c>
      <c r="E12" s="12">
        <v>2</v>
      </c>
      <c r="F12" s="8">
        <v>0.25</v>
      </c>
      <c r="G12" s="12">
        <v>2</v>
      </c>
      <c r="H12" s="8">
        <v>0.5</v>
      </c>
      <c r="I12" s="12">
        <v>0</v>
      </c>
    </row>
    <row r="13" spans="2:9" ht="15" customHeight="1" x14ac:dyDescent="0.2">
      <c r="B13" t="s">
        <v>69</v>
      </c>
      <c r="C13" s="12">
        <v>63</v>
      </c>
      <c r="D13" s="8">
        <v>5.28</v>
      </c>
      <c r="E13" s="12">
        <v>29</v>
      </c>
      <c r="F13" s="8">
        <v>3.69</v>
      </c>
      <c r="G13" s="12">
        <v>33</v>
      </c>
      <c r="H13" s="8">
        <v>8.25</v>
      </c>
      <c r="I13" s="12">
        <v>0</v>
      </c>
    </row>
    <row r="14" spans="2:9" ht="15" customHeight="1" x14ac:dyDescent="0.2">
      <c r="B14" t="s">
        <v>70</v>
      </c>
      <c r="C14" s="12">
        <v>34</v>
      </c>
      <c r="D14" s="8">
        <v>2.85</v>
      </c>
      <c r="E14" s="12">
        <v>21</v>
      </c>
      <c r="F14" s="8">
        <v>2.67</v>
      </c>
      <c r="G14" s="12">
        <v>13</v>
      </c>
      <c r="H14" s="8">
        <v>3.25</v>
      </c>
      <c r="I14" s="12">
        <v>0</v>
      </c>
    </row>
    <row r="15" spans="2:9" ht="15" customHeight="1" x14ac:dyDescent="0.2">
      <c r="B15" t="s">
        <v>71</v>
      </c>
      <c r="C15" s="12">
        <v>211</v>
      </c>
      <c r="D15" s="8">
        <v>17.670000000000002</v>
      </c>
      <c r="E15" s="12">
        <v>178</v>
      </c>
      <c r="F15" s="8">
        <v>22.65</v>
      </c>
      <c r="G15" s="12">
        <v>33</v>
      </c>
      <c r="H15" s="8">
        <v>8.25</v>
      </c>
      <c r="I15" s="12">
        <v>0</v>
      </c>
    </row>
    <row r="16" spans="2:9" ht="15" customHeight="1" x14ac:dyDescent="0.2">
      <c r="B16" t="s">
        <v>72</v>
      </c>
      <c r="C16" s="12">
        <v>153</v>
      </c>
      <c r="D16" s="8">
        <v>12.81</v>
      </c>
      <c r="E16" s="12">
        <v>139</v>
      </c>
      <c r="F16" s="8">
        <v>17.68</v>
      </c>
      <c r="G16" s="12">
        <v>14</v>
      </c>
      <c r="H16" s="8">
        <v>3.5</v>
      </c>
      <c r="I16" s="12">
        <v>0</v>
      </c>
    </row>
    <row r="17" spans="2:9" ht="15" customHeight="1" x14ac:dyDescent="0.2">
      <c r="B17" t="s">
        <v>73</v>
      </c>
      <c r="C17" s="12">
        <v>26</v>
      </c>
      <c r="D17" s="8">
        <v>2.1800000000000002</v>
      </c>
      <c r="E17" s="12">
        <v>21</v>
      </c>
      <c r="F17" s="8">
        <v>2.67</v>
      </c>
      <c r="G17" s="12">
        <v>2</v>
      </c>
      <c r="H17" s="8">
        <v>0.5</v>
      </c>
      <c r="I17" s="12">
        <v>0</v>
      </c>
    </row>
    <row r="18" spans="2:9" ht="15" customHeight="1" x14ac:dyDescent="0.2">
      <c r="B18" t="s">
        <v>74</v>
      </c>
      <c r="C18" s="12">
        <v>54</v>
      </c>
      <c r="D18" s="8">
        <v>4.5199999999999996</v>
      </c>
      <c r="E18" s="12">
        <v>24</v>
      </c>
      <c r="F18" s="8">
        <v>3.05</v>
      </c>
      <c r="G18" s="12">
        <v>29</v>
      </c>
      <c r="H18" s="8">
        <v>7.25</v>
      </c>
      <c r="I18" s="12">
        <v>0</v>
      </c>
    </row>
    <row r="19" spans="2:9" ht="15" customHeight="1" x14ac:dyDescent="0.2">
      <c r="B19" t="s">
        <v>75</v>
      </c>
      <c r="C19" s="12">
        <v>42</v>
      </c>
      <c r="D19" s="8">
        <v>3.52</v>
      </c>
      <c r="E19" s="12">
        <v>23</v>
      </c>
      <c r="F19" s="8">
        <v>2.93</v>
      </c>
      <c r="G19" s="12">
        <v>18</v>
      </c>
      <c r="H19" s="8">
        <v>4.5</v>
      </c>
      <c r="I19" s="12">
        <v>0</v>
      </c>
    </row>
    <row r="20" spans="2:9" ht="15" customHeight="1" x14ac:dyDescent="0.2">
      <c r="B20" s="9" t="s">
        <v>248</v>
      </c>
      <c r="C20" s="12">
        <f>SUM(LTBL_12234[総数／事業所数])</f>
        <v>1194</v>
      </c>
      <c r="E20" s="12">
        <f>SUBTOTAL(109,LTBL_12234[個人／事業所数])</f>
        <v>786</v>
      </c>
      <c r="G20" s="12">
        <f>SUBTOTAL(109,LTBL_12234[法人／事業所数])</f>
        <v>400</v>
      </c>
      <c r="I20" s="12">
        <f>SUBTOTAL(109,LTBL_12234[法人以外の団体／事業所数])</f>
        <v>1</v>
      </c>
    </row>
    <row r="21" spans="2:9" ht="15" customHeight="1" x14ac:dyDescent="0.2">
      <c r="E21" s="11">
        <f>LTBL_12234[[#Totals],[個人／事業所数]]/LTBL_12234[[#Totals],[総数／事業所数]]</f>
        <v>0.65829145728643212</v>
      </c>
      <c r="G21" s="11">
        <f>LTBL_12234[[#Totals],[法人／事業所数]]/LTBL_12234[[#Totals],[総数／事業所数]]</f>
        <v>0.33500837520938026</v>
      </c>
      <c r="I21" s="11">
        <f>LTBL_12234[[#Totals],[法人以外の団体／事業所数]]/LTBL_12234[[#Totals],[総数／事業所数]]</f>
        <v>8.375209380234506E-4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124</v>
      </c>
      <c r="D24" s="8">
        <v>10.39</v>
      </c>
      <c r="E24" s="12">
        <v>120</v>
      </c>
      <c r="F24" s="8">
        <v>15.27</v>
      </c>
      <c r="G24" s="12">
        <v>4</v>
      </c>
      <c r="H24" s="8">
        <v>1</v>
      </c>
      <c r="I24" s="12">
        <v>0</v>
      </c>
    </row>
    <row r="25" spans="2:9" ht="15" customHeight="1" x14ac:dyDescent="0.2">
      <c r="B25" t="s">
        <v>97</v>
      </c>
      <c r="C25" s="12">
        <v>120</v>
      </c>
      <c r="D25" s="8">
        <v>10.050000000000001</v>
      </c>
      <c r="E25" s="12">
        <v>106</v>
      </c>
      <c r="F25" s="8">
        <v>13.49</v>
      </c>
      <c r="G25" s="12">
        <v>14</v>
      </c>
      <c r="H25" s="8">
        <v>3.5</v>
      </c>
      <c r="I25" s="12">
        <v>0</v>
      </c>
    </row>
    <row r="26" spans="2:9" ht="15" customHeight="1" x14ac:dyDescent="0.2">
      <c r="B26" t="s">
        <v>84</v>
      </c>
      <c r="C26" s="12">
        <v>116</v>
      </c>
      <c r="D26" s="8">
        <v>9.7200000000000006</v>
      </c>
      <c r="E26" s="12">
        <v>63</v>
      </c>
      <c r="F26" s="8">
        <v>8.02</v>
      </c>
      <c r="G26" s="12">
        <v>53</v>
      </c>
      <c r="H26" s="8">
        <v>13.25</v>
      </c>
      <c r="I26" s="12">
        <v>0</v>
      </c>
    </row>
    <row r="27" spans="2:9" ht="15" customHeight="1" x14ac:dyDescent="0.2">
      <c r="B27" t="s">
        <v>90</v>
      </c>
      <c r="C27" s="12">
        <v>96</v>
      </c>
      <c r="D27" s="8">
        <v>8.0399999999999991</v>
      </c>
      <c r="E27" s="12">
        <v>74</v>
      </c>
      <c r="F27" s="8">
        <v>9.41</v>
      </c>
      <c r="G27" s="12">
        <v>22</v>
      </c>
      <c r="H27" s="8">
        <v>5.5</v>
      </c>
      <c r="I27" s="12">
        <v>0</v>
      </c>
    </row>
    <row r="28" spans="2:9" ht="15" customHeight="1" x14ac:dyDescent="0.2">
      <c r="B28" t="s">
        <v>92</v>
      </c>
      <c r="C28" s="12">
        <v>85</v>
      </c>
      <c r="D28" s="8">
        <v>7.12</v>
      </c>
      <c r="E28" s="12">
        <v>49</v>
      </c>
      <c r="F28" s="8">
        <v>6.23</v>
      </c>
      <c r="G28" s="12">
        <v>36</v>
      </c>
      <c r="H28" s="8">
        <v>9</v>
      </c>
      <c r="I28" s="12">
        <v>0</v>
      </c>
    </row>
    <row r="29" spans="2:9" ht="15" customHeight="1" x14ac:dyDescent="0.2">
      <c r="B29" t="s">
        <v>111</v>
      </c>
      <c r="C29" s="12">
        <v>84</v>
      </c>
      <c r="D29" s="8">
        <v>7.04</v>
      </c>
      <c r="E29" s="12">
        <v>67</v>
      </c>
      <c r="F29" s="8">
        <v>8.52</v>
      </c>
      <c r="G29" s="12">
        <v>17</v>
      </c>
      <c r="H29" s="8">
        <v>4.25</v>
      </c>
      <c r="I29" s="12">
        <v>0</v>
      </c>
    </row>
    <row r="30" spans="2:9" ht="15" customHeight="1" x14ac:dyDescent="0.2">
      <c r="B30" t="s">
        <v>85</v>
      </c>
      <c r="C30" s="12">
        <v>73</v>
      </c>
      <c r="D30" s="8">
        <v>6.11</v>
      </c>
      <c r="E30" s="12">
        <v>51</v>
      </c>
      <c r="F30" s="8">
        <v>6.49</v>
      </c>
      <c r="G30" s="12">
        <v>22</v>
      </c>
      <c r="H30" s="8">
        <v>5.5</v>
      </c>
      <c r="I30" s="12">
        <v>0</v>
      </c>
    </row>
    <row r="31" spans="2:9" ht="15" customHeight="1" x14ac:dyDescent="0.2">
      <c r="B31" t="s">
        <v>94</v>
      </c>
      <c r="C31" s="12">
        <v>43</v>
      </c>
      <c r="D31" s="8">
        <v>3.6</v>
      </c>
      <c r="E31" s="12">
        <v>24</v>
      </c>
      <c r="F31" s="8">
        <v>3.05</v>
      </c>
      <c r="G31" s="12">
        <v>18</v>
      </c>
      <c r="H31" s="8">
        <v>4.5</v>
      </c>
      <c r="I31" s="12">
        <v>0</v>
      </c>
    </row>
    <row r="32" spans="2:9" ht="15" customHeight="1" x14ac:dyDescent="0.2">
      <c r="B32" t="s">
        <v>86</v>
      </c>
      <c r="C32" s="12">
        <v>34</v>
      </c>
      <c r="D32" s="8">
        <v>2.85</v>
      </c>
      <c r="E32" s="12">
        <v>19</v>
      </c>
      <c r="F32" s="8">
        <v>2.42</v>
      </c>
      <c r="G32" s="12">
        <v>15</v>
      </c>
      <c r="H32" s="8">
        <v>3.75</v>
      </c>
      <c r="I32" s="12">
        <v>0</v>
      </c>
    </row>
    <row r="33" spans="2:9" ht="15" customHeight="1" x14ac:dyDescent="0.2">
      <c r="B33" t="s">
        <v>91</v>
      </c>
      <c r="C33" s="12">
        <v>28</v>
      </c>
      <c r="D33" s="8">
        <v>2.35</v>
      </c>
      <c r="E33" s="12">
        <v>17</v>
      </c>
      <c r="F33" s="8">
        <v>2.16</v>
      </c>
      <c r="G33" s="12">
        <v>11</v>
      </c>
      <c r="H33" s="8">
        <v>2.75</v>
      </c>
      <c r="I33" s="12">
        <v>0</v>
      </c>
    </row>
    <row r="34" spans="2:9" ht="15" customHeight="1" x14ac:dyDescent="0.2">
      <c r="B34" t="s">
        <v>101</v>
      </c>
      <c r="C34" s="12">
        <v>27</v>
      </c>
      <c r="D34" s="8">
        <v>2.2599999999999998</v>
      </c>
      <c r="E34" s="12">
        <v>24</v>
      </c>
      <c r="F34" s="8">
        <v>3.05</v>
      </c>
      <c r="G34" s="12">
        <v>3</v>
      </c>
      <c r="H34" s="8">
        <v>0.75</v>
      </c>
      <c r="I34" s="12">
        <v>0</v>
      </c>
    </row>
    <row r="35" spans="2:9" ht="15" customHeight="1" x14ac:dyDescent="0.2">
      <c r="B35" t="s">
        <v>102</v>
      </c>
      <c r="C35" s="12">
        <v>27</v>
      </c>
      <c r="D35" s="8">
        <v>2.2599999999999998</v>
      </c>
      <c r="E35" s="12">
        <v>0</v>
      </c>
      <c r="F35" s="8">
        <v>0</v>
      </c>
      <c r="G35" s="12">
        <v>26</v>
      </c>
      <c r="H35" s="8">
        <v>6.5</v>
      </c>
      <c r="I35" s="12">
        <v>0</v>
      </c>
    </row>
    <row r="36" spans="2:9" ht="15" customHeight="1" x14ac:dyDescent="0.2">
      <c r="B36" t="s">
        <v>100</v>
      </c>
      <c r="C36" s="12">
        <v>26</v>
      </c>
      <c r="D36" s="8">
        <v>2.1800000000000002</v>
      </c>
      <c r="E36" s="12">
        <v>21</v>
      </c>
      <c r="F36" s="8">
        <v>2.67</v>
      </c>
      <c r="G36" s="12">
        <v>2</v>
      </c>
      <c r="H36" s="8">
        <v>0.5</v>
      </c>
      <c r="I36" s="12">
        <v>0</v>
      </c>
    </row>
    <row r="37" spans="2:9" ht="15" customHeight="1" x14ac:dyDescent="0.2">
      <c r="B37" t="s">
        <v>109</v>
      </c>
      <c r="C37" s="12">
        <v>25</v>
      </c>
      <c r="D37" s="8">
        <v>2.09</v>
      </c>
      <c r="E37" s="12">
        <v>8</v>
      </c>
      <c r="F37" s="8">
        <v>1.02</v>
      </c>
      <c r="G37" s="12">
        <v>17</v>
      </c>
      <c r="H37" s="8">
        <v>4.25</v>
      </c>
      <c r="I37" s="12">
        <v>0</v>
      </c>
    </row>
    <row r="38" spans="2:9" ht="15" customHeight="1" x14ac:dyDescent="0.2">
      <c r="B38" t="s">
        <v>103</v>
      </c>
      <c r="C38" s="12">
        <v>22</v>
      </c>
      <c r="D38" s="8">
        <v>1.84</v>
      </c>
      <c r="E38" s="12">
        <v>17</v>
      </c>
      <c r="F38" s="8">
        <v>2.16</v>
      </c>
      <c r="G38" s="12">
        <v>5</v>
      </c>
      <c r="H38" s="8">
        <v>1.25</v>
      </c>
      <c r="I38" s="12">
        <v>0</v>
      </c>
    </row>
    <row r="39" spans="2:9" ht="15" customHeight="1" x14ac:dyDescent="0.2">
      <c r="B39" t="s">
        <v>110</v>
      </c>
      <c r="C39" s="12">
        <v>20</v>
      </c>
      <c r="D39" s="8">
        <v>1.68</v>
      </c>
      <c r="E39" s="12">
        <v>8</v>
      </c>
      <c r="F39" s="8">
        <v>1.02</v>
      </c>
      <c r="G39" s="12">
        <v>11</v>
      </c>
      <c r="H39" s="8">
        <v>2.75</v>
      </c>
      <c r="I39" s="12">
        <v>1</v>
      </c>
    </row>
    <row r="40" spans="2:9" ht="15" customHeight="1" x14ac:dyDescent="0.2">
      <c r="B40" t="s">
        <v>112</v>
      </c>
      <c r="C40" s="12">
        <v>18</v>
      </c>
      <c r="D40" s="8">
        <v>1.51</v>
      </c>
      <c r="E40" s="12">
        <v>15</v>
      </c>
      <c r="F40" s="8">
        <v>1.91</v>
      </c>
      <c r="G40" s="12">
        <v>3</v>
      </c>
      <c r="H40" s="8">
        <v>0.75</v>
      </c>
      <c r="I40" s="12">
        <v>0</v>
      </c>
    </row>
    <row r="41" spans="2:9" ht="15" customHeight="1" x14ac:dyDescent="0.2">
      <c r="B41" t="s">
        <v>96</v>
      </c>
      <c r="C41" s="12">
        <v>17</v>
      </c>
      <c r="D41" s="8">
        <v>1.42</v>
      </c>
      <c r="E41" s="12">
        <v>9</v>
      </c>
      <c r="F41" s="8">
        <v>1.1499999999999999</v>
      </c>
      <c r="G41" s="12">
        <v>8</v>
      </c>
      <c r="H41" s="8">
        <v>2</v>
      </c>
      <c r="I41" s="12">
        <v>0</v>
      </c>
    </row>
    <row r="42" spans="2:9" ht="15" customHeight="1" x14ac:dyDescent="0.2">
      <c r="B42" t="s">
        <v>95</v>
      </c>
      <c r="C42" s="12">
        <v>16</v>
      </c>
      <c r="D42" s="8">
        <v>1.34</v>
      </c>
      <c r="E42" s="12">
        <v>12</v>
      </c>
      <c r="F42" s="8">
        <v>1.53</v>
      </c>
      <c r="G42" s="12">
        <v>4</v>
      </c>
      <c r="H42" s="8">
        <v>1</v>
      </c>
      <c r="I42" s="12">
        <v>0</v>
      </c>
    </row>
    <row r="43" spans="2:9" ht="15" customHeight="1" x14ac:dyDescent="0.2">
      <c r="B43" t="s">
        <v>89</v>
      </c>
      <c r="C43" s="12">
        <v>15</v>
      </c>
      <c r="D43" s="8">
        <v>1.26</v>
      </c>
      <c r="E43" s="12">
        <v>10</v>
      </c>
      <c r="F43" s="8">
        <v>1.27</v>
      </c>
      <c r="G43" s="12">
        <v>5</v>
      </c>
      <c r="H43" s="8">
        <v>1.25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194</v>
      </c>
      <c r="C47" s="12">
        <v>71</v>
      </c>
      <c r="D47" s="8">
        <v>5.95</v>
      </c>
      <c r="E47" s="12">
        <v>59</v>
      </c>
      <c r="F47" s="8">
        <v>7.51</v>
      </c>
      <c r="G47" s="12">
        <v>12</v>
      </c>
      <c r="H47" s="8">
        <v>3</v>
      </c>
      <c r="I47" s="12">
        <v>0</v>
      </c>
    </row>
    <row r="48" spans="2:9" ht="15" customHeight="1" x14ac:dyDescent="0.2">
      <c r="B48" t="s">
        <v>150</v>
      </c>
      <c r="C48" s="12">
        <v>66</v>
      </c>
      <c r="D48" s="8">
        <v>5.53</v>
      </c>
      <c r="E48" s="12">
        <v>50</v>
      </c>
      <c r="F48" s="8">
        <v>6.36</v>
      </c>
      <c r="G48" s="12">
        <v>16</v>
      </c>
      <c r="H48" s="8">
        <v>4</v>
      </c>
      <c r="I48" s="12">
        <v>0</v>
      </c>
    </row>
    <row r="49" spans="2:9" ht="15" customHeight="1" x14ac:dyDescent="0.2">
      <c r="B49" t="s">
        <v>164</v>
      </c>
      <c r="C49" s="12">
        <v>63</v>
      </c>
      <c r="D49" s="8">
        <v>5.28</v>
      </c>
      <c r="E49" s="12">
        <v>61</v>
      </c>
      <c r="F49" s="8">
        <v>7.76</v>
      </c>
      <c r="G49" s="12">
        <v>2</v>
      </c>
      <c r="H49" s="8">
        <v>0.5</v>
      </c>
      <c r="I49" s="12">
        <v>0</v>
      </c>
    </row>
    <row r="50" spans="2:9" ht="15" customHeight="1" x14ac:dyDescent="0.2">
      <c r="B50" t="s">
        <v>163</v>
      </c>
      <c r="C50" s="12">
        <v>51</v>
      </c>
      <c r="D50" s="8">
        <v>4.2699999999999996</v>
      </c>
      <c r="E50" s="12">
        <v>51</v>
      </c>
      <c r="F50" s="8">
        <v>6.49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161</v>
      </c>
      <c r="C51" s="12">
        <v>37</v>
      </c>
      <c r="D51" s="8">
        <v>3.1</v>
      </c>
      <c r="E51" s="12">
        <v>31</v>
      </c>
      <c r="F51" s="8">
        <v>3.94</v>
      </c>
      <c r="G51" s="12">
        <v>6</v>
      </c>
      <c r="H51" s="8">
        <v>1.5</v>
      </c>
      <c r="I51" s="12">
        <v>0</v>
      </c>
    </row>
    <row r="52" spans="2:9" ht="15" customHeight="1" x14ac:dyDescent="0.2">
      <c r="B52" t="s">
        <v>154</v>
      </c>
      <c r="C52" s="12">
        <v>33</v>
      </c>
      <c r="D52" s="8">
        <v>2.76</v>
      </c>
      <c r="E52" s="12">
        <v>25</v>
      </c>
      <c r="F52" s="8">
        <v>3.18</v>
      </c>
      <c r="G52" s="12">
        <v>8</v>
      </c>
      <c r="H52" s="8">
        <v>2</v>
      </c>
      <c r="I52" s="12">
        <v>0</v>
      </c>
    </row>
    <row r="53" spans="2:9" ht="15" customHeight="1" x14ac:dyDescent="0.2">
      <c r="B53" t="s">
        <v>158</v>
      </c>
      <c r="C53" s="12">
        <v>29</v>
      </c>
      <c r="D53" s="8">
        <v>2.4300000000000002</v>
      </c>
      <c r="E53" s="12">
        <v>18</v>
      </c>
      <c r="F53" s="8">
        <v>2.29</v>
      </c>
      <c r="G53" s="12">
        <v>10</v>
      </c>
      <c r="H53" s="8">
        <v>2.5</v>
      </c>
      <c r="I53" s="12">
        <v>0</v>
      </c>
    </row>
    <row r="54" spans="2:9" ht="15" customHeight="1" x14ac:dyDescent="0.2">
      <c r="B54" t="s">
        <v>190</v>
      </c>
      <c r="C54" s="12">
        <v>27</v>
      </c>
      <c r="D54" s="8">
        <v>2.2599999999999998</v>
      </c>
      <c r="E54" s="12">
        <v>22</v>
      </c>
      <c r="F54" s="8">
        <v>2.8</v>
      </c>
      <c r="G54" s="12">
        <v>5</v>
      </c>
      <c r="H54" s="8">
        <v>1.25</v>
      </c>
      <c r="I54" s="12">
        <v>0</v>
      </c>
    </row>
    <row r="55" spans="2:9" ht="15" customHeight="1" x14ac:dyDescent="0.2">
      <c r="B55" t="s">
        <v>148</v>
      </c>
      <c r="C55" s="12">
        <v>22</v>
      </c>
      <c r="D55" s="8">
        <v>1.84</v>
      </c>
      <c r="E55" s="12">
        <v>5</v>
      </c>
      <c r="F55" s="8">
        <v>0.64</v>
      </c>
      <c r="G55" s="12">
        <v>17</v>
      </c>
      <c r="H55" s="8">
        <v>4.25</v>
      </c>
      <c r="I55" s="12">
        <v>0</v>
      </c>
    </row>
    <row r="56" spans="2:9" ht="15" customHeight="1" x14ac:dyDescent="0.2">
      <c r="B56" t="s">
        <v>167</v>
      </c>
      <c r="C56" s="12">
        <v>22</v>
      </c>
      <c r="D56" s="8">
        <v>1.84</v>
      </c>
      <c r="E56" s="12">
        <v>17</v>
      </c>
      <c r="F56" s="8">
        <v>2.16</v>
      </c>
      <c r="G56" s="12">
        <v>5</v>
      </c>
      <c r="H56" s="8">
        <v>1.25</v>
      </c>
      <c r="I56" s="12">
        <v>0</v>
      </c>
    </row>
    <row r="57" spans="2:9" ht="15" customHeight="1" x14ac:dyDescent="0.2">
      <c r="B57" t="s">
        <v>191</v>
      </c>
      <c r="C57" s="12">
        <v>20</v>
      </c>
      <c r="D57" s="8">
        <v>1.68</v>
      </c>
      <c r="E57" s="12">
        <v>3</v>
      </c>
      <c r="F57" s="8">
        <v>0.38</v>
      </c>
      <c r="G57" s="12">
        <v>17</v>
      </c>
      <c r="H57" s="8">
        <v>4.25</v>
      </c>
      <c r="I57" s="12">
        <v>0</v>
      </c>
    </row>
    <row r="58" spans="2:9" ht="15" customHeight="1" x14ac:dyDescent="0.2">
      <c r="B58" t="s">
        <v>192</v>
      </c>
      <c r="C58" s="12">
        <v>20</v>
      </c>
      <c r="D58" s="8">
        <v>1.68</v>
      </c>
      <c r="E58" s="12">
        <v>18</v>
      </c>
      <c r="F58" s="8">
        <v>2.29</v>
      </c>
      <c r="G58" s="12">
        <v>2</v>
      </c>
      <c r="H58" s="8">
        <v>0.5</v>
      </c>
      <c r="I58" s="12">
        <v>0</v>
      </c>
    </row>
    <row r="59" spans="2:9" ht="15" customHeight="1" x14ac:dyDescent="0.2">
      <c r="B59" t="s">
        <v>195</v>
      </c>
      <c r="C59" s="12">
        <v>20</v>
      </c>
      <c r="D59" s="8">
        <v>1.68</v>
      </c>
      <c r="E59" s="12">
        <v>17</v>
      </c>
      <c r="F59" s="8">
        <v>2.16</v>
      </c>
      <c r="G59" s="12">
        <v>3</v>
      </c>
      <c r="H59" s="8">
        <v>0.75</v>
      </c>
      <c r="I59" s="12">
        <v>0</v>
      </c>
    </row>
    <row r="60" spans="2:9" ht="15" customHeight="1" x14ac:dyDescent="0.2">
      <c r="B60" t="s">
        <v>153</v>
      </c>
      <c r="C60" s="12">
        <v>19</v>
      </c>
      <c r="D60" s="8">
        <v>1.59</v>
      </c>
      <c r="E60" s="12">
        <v>10</v>
      </c>
      <c r="F60" s="8">
        <v>1.27</v>
      </c>
      <c r="G60" s="12">
        <v>9</v>
      </c>
      <c r="H60" s="8">
        <v>2.25</v>
      </c>
      <c r="I60" s="12">
        <v>0</v>
      </c>
    </row>
    <row r="61" spans="2:9" ht="15" customHeight="1" x14ac:dyDescent="0.2">
      <c r="B61" t="s">
        <v>183</v>
      </c>
      <c r="C61" s="12">
        <v>19</v>
      </c>
      <c r="D61" s="8">
        <v>1.59</v>
      </c>
      <c r="E61" s="12">
        <v>7</v>
      </c>
      <c r="F61" s="8">
        <v>0.89</v>
      </c>
      <c r="G61" s="12">
        <v>12</v>
      </c>
      <c r="H61" s="8">
        <v>3</v>
      </c>
      <c r="I61" s="12">
        <v>0</v>
      </c>
    </row>
    <row r="62" spans="2:9" ht="15" customHeight="1" x14ac:dyDescent="0.2">
      <c r="B62" t="s">
        <v>162</v>
      </c>
      <c r="C62" s="12">
        <v>19</v>
      </c>
      <c r="D62" s="8">
        <v>1.59</v>
      </c>
      <c r="E62" s="12">
        <v>19</v>
      </c>
      <c r="F62" s="8">
        <v>2.42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156</v>
      </c>
      <c r="C63" s="12">
        <v>18</v>
      </c>
      <c r="D63" s="8">
        <v>1.51</v>
      </c>
      <c r="E63" s="12">
        <v>14</v>
      </c>
      <c r="F63" s="8">
        <v>1.78</v>
      </c>
      <c r="G63" s="12">
        <v>4</v>
      </c>
      <c r="H63" s="8">
        <v>1</v>
      </c>
      <c r="I63" s="12">
        <v>0</v>
      </c>
    </row>
    <row r="64" spans="2:9" ht="15" customHeight="1" x14ac:dyDescent="0.2">
      <c r="B64" t="s">
        <v>149</v>
      </c>
      <c r="C64" s="12">
        <v>17</v>
      </c>
      <c r="D64" s="8">
        <v>1.42</v>
      </c>
      <c r="E64" s="12">
        <v>4</v>
      </c>
      <c r="F64" s="8">
        <v>0.51</v>
      </c>
      <c r="G64" s="12">
        <v>13</v>
      </c>
      <c r="H64" s="8">
        <v>3.25</v>
      </c>
      <c r="I64" s="12">
        <v>0</v>
      </c>
    </row>
    <row r="65" spans="2:9" ht="15" customHeight="1" x14ac:dyDescent="0.2">
      <c r="B65" t="s">
        <v>209</v>
      </c>
      <c r="C65" s="12">
        <v>17</v>
      </c>
      <c r="D65" s="8">
        <v>1.42</v>
      </c>
      <c r="E65" s="12">
        <v>15</v>
      </c>
      <c r="F65" s="8">
        <v>1.91</v>
      </c>
      <c r="G65" s="12">
        <v>2</v>
      </c>
      <c r="H65" s="8">
        <v>0.5</v>
      </c>
      <c r="I65" s="12">
        <v>0</v>
      </c>
    </row>
    <row r="66" spans="2:9" ht="15" customHeight="1" x14ac:dyDescent="0.2">
      <c r="B66" t="s">
        <v>198</v>
      </c>
      <c r="C66" s="12">
        <v>16</v>
      </c>
      <c r="D66" s="8">
        <v>1.34</v>
      </c>
      <c r="E66" s="12">
        <v>12</v>
      </c>
      <c r="F66" s="8">
        <v>1.53</v>
      </c>
      <c r="G66" s="12">
        <v>4</v>
      </c>
      <c r="H66" s="8">
        <v>1</v>
      </c>
      <c r="I66" s="12">
        <v>0</v>
      </c>
    </row>
    <row r="67" spans="2:9" ht="15" customHeight="1" x14ac:dyDescent="0.2">
      <c r="B67" t="s">
        <v>200</v>
      </c>
      <c r="C67" s="12">
        <v>16</v>
      </c>
      <c r="D67" s="8">
        <v>1.34</v>
      </c>
      <c r="E67" s="12">
        <v>15</v>
      </c>
      <c r="F67" s="8">
        <v>1.91</v>
      </c>
      <c r="G67" s="12">
        <v>1</v>
      </c>
      <c r="H67" s="8">
        <v>0.25</v>
      </c>
      <c r="I67" s="12">
        <v>0</v>
      </c>
    </row>
    <row r="69" spans="2:9" ht="15" customHeight="1" x14ac:dyDescent="0.2">
      <c r="B69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583E-9118-4386-B6F8-1E64F075962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290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232</v>
      </c>
      <c r="D6" s="8">
        <v>24.6</v>
      </c>
      <c r="E6" s="12">
        <v>115</v>
      </c>
      <c r="F6" s="8">
        <v>20.43</v>
      </c>
      <c r="G6" s="12">
        <v>117</v>
      </c>
      <c r="H6" s="8">
        <v>31.79</v>
      </c>
      <c r="I6" s="12">
        <v>0</v>
      </c>
    </row>
    <row r="7" spans="2:9" ht="15" customHeight="1" x14ac:dyDescent="0.2">
      <c r="B7" t="s">
        <v>63</v>
      </c>
      <c r="C7" s="12">
        <v>65</v>
      </c>
      <c r="D7" s="8">
        <v>6.89</v>
      </c>
      <c r="E7" s="12">
        <v>20</v>
      </c>
      <c r="F7" s="8">
        <v>3.55</v>
      </c>
      <c r="G7" s="12">
        <v>45</v>
      </c>
      <c r="H7" s="8">
        <v>12.23</v>
      </c>
      <c r="I7" s="12">
        <v>0</v>
      </c>
    </row>
    <row r="8" spans="2:9" ht="15" customHeight="1" x14ac:dyDescent="0.2">
      <c r="B8" t="s">
        <v>64</v>
      </c>
      <c r="C8" s="12">
        <v>3</v>
      </c>
      <c r="D8" s="8">
        <v>0.32</v>
      </c>
      <c r="E8" s="12">
        <v>0</v>
      </c>
      <c r="F8" s="8">
        <v>0</v>
      </c>
      <c r="G8" s="12">
        <v>3</v>
      </c>
      <c r="H8" s="8">
        <v>0.82</v>
      </c>
      <c r="I8" s="12">
        <v>0</v>
      </c>
    </row>
    <row r="9" spans="2:9" ht="15" customHeight="1" x14ac:dyDescent="0.2">
      <c r="B9" t="s">
        <v>65</v>
      </c>
      <c r="C9" s="12">
        <v>2</v>
      </c>
      <c r="D9" s="8">
        <v>0.21</v>
      </c>
      <c r="E9" s="12">
        <v>0</v>
      </c>
      <c r="F9" s="8">
        <v>0</v>
      </c>
      <c r="G9" s="12">
        <v>2</v>
      </c>
      <c r="H9" s="8">
        <v>0.54</v>
      </c>
      <c r="I9" s="12">
        <v>0</v>
      </c>
    </row>
    <row r="10" spans="2:9" ht="15" customHeight="1" x14ac:dyDescent="0.2">
      <c r="B10" t="s">
        <v>66</v>
      </c>
      <c r="C10" s="12">
        <v>10</v>
      </c>
      <c r="D10" s="8">
        <v>1.06</v>
      </c>
      <c r="E10" s="12">
        <v>3</v>
      </c>
      <c r="F10" s="8">
        <v>0.53</v>
      </c>
      <c r="G10" s="12">
        <v>7</v>
      </c>
      <c r="H10" s="8">
        <v>1.9</v>
      </c>
      <c r="I10" s="12">
        <v>0</v>
      </c>
    </row>
    <row r="11" spans="2:9" ht="15" customHeight="1" x14ac:dyDescent="0.2">
      <c r="B11" t="s">
        <v>67</v>
      </c>
      <c r="C11" s="12">
        <v>232</v>
      </c>
      <c r="D11" s="8">
        <v>24.6</v>
      </c>
      <c r="E11" s="12">
        <v>139</v>
      </c>
      <c r="F11" s="8">
        <v>24.69</v>
      </c>
      <c r="G11" s="12">
        <v>92</v>
      </c>
      <c r="H11" s="8">
        <v>25</v>
      </c>
      <c r="I11" s="12">
        <v>1</v>
      </c>
    </row>
    <row r="12" spans="2:9" ht="15" customHeight="1" x14ac:dyDescent="0.2">
      <c r="B12" t="s">
        <v>68</v>
      </c>
      <c r="C12" s="12">
        <v>8</v>
      </c>
      <c r="D12" s="8">
        <v>0.85</v>
      </c>
      <c r="E12" s="12">
        <v>1</v>
      </c>
      <c r="F12" s="8">
        <v>0.18</v>
      </c>
      <c r="G12" s="12">
        <v>7</v>
      </c>
      <c r="H12" s="8">
        <v>1.9</v>
      </c>
      <c r="I12" s="12">
        <v>0</v>
      </c>
    </row>
    <row r="13" spans="2:9" ht="15" customHeight="1" x14ac:dyDescent="0.2">
      <c r="B13" t="s">
        <v>69</v>
      </c>
      <c r="C13" s="12">
        <v>45</v>
      </c>
      <c r="D13" s="8">
        <v>4.7699999999999996</v>
      </c>
      <c r="E13" s="12">
        <v>9</v>
      </c>
      <c r="F13" s="8">
        <v>1.6</v>
      </c>
      <c r="G13" s="12">
        <v>35</v>
      </c>
      <c r="H13" s="8">
        <v>9.51</v>
      </c>
      <c r="I13" s="12">
        <v>0</v>
      </c>
    </row>
    <row r="14" spans="2:9" ht="15" customHeight="1" x14ac:dyDescent="0.2">
      <c r="B14" t="s">
        <v>70</v>
      </c>
      <c r="C14" s="12">
        <v>31</v>
      </c>
      <c r="D14" s="8">
        <v>3.29</v>
      </c>
      <c r="E14" s="12">
        <v>17</v>
      </c>
      <c r="F14" s="8">
        <v>3.02</v>
      </c>
      <c r="G14" s="12">
        <v>14</v>
      </c>
      <c r="H14" s="8">
        <v>3.8</v>
      </c>
      <c r="I14" s="12">
        <v>0</v>
      </c>
    </row>
    <row r="15" spans="2:9" ht="15" customHeight="1" x14ac:dyDescent="0.2">
      <c r="B15" t="s">
        <v>71</v>
      </c>
      <c r="C15" s="12">
        <v>89</v>
      </c>
      <c r="D15" s="8">
        <v>9.44</v>
      </c>
      <c r="E15" s="12">
        <v>74</v>
      </c>
      <c r="F15" s="8">
        <v>13.14</v>
      </c>
      <c r="G15" s="12">
        <v>15</v>
      </c>
      <c r="H15" s="8">
        <v>4.08</v>
      </c>
      <c r="I15" s="12">
        <v>0</v>
      </c>
    </row>
    <row r="16" spans="2:9" ht="15" customHeight="1" x14ac:dyDescent="0.2">
      <c r="B16" t="s">
        <v>72</v>
      </c>
      <c r="C16" s="12">
        <v>139</v>
      </c>
      <c r="D16" s="8">
        <v>14.74</v>
      </c>
      <c r="E16" s="12">
        <v>126</v>
      </c>
      <c r="F16" s="8">
        <v>22.38</v>
      </c>
      <c r="G16" s="12">
        <v>12</v>
      </c>
      <c r="H16" s="8">
        <v>3.26</v>
      </c>
      <c r="I16" s="12">
        <v>0</v>
      </c>
    </row>
    <row r="17" spans="2:9" ht="15" customHeight="1" x14ac:dyDescent="0.2">
      <c r="B17" t="s">
        <v>73</v>
      </c>
      <c r="C17" s="12">
        <v>20</v>
      </c>
      <c r="D17" s="8">
        <v>2.12</v>
      </c>
      <c r="E17" s="12">
        <v>14</v>
      </c>
      <c r="F17" s="8">
        <v>2.4900000000000002</v>
      </c>
      <c r="G17" s="12">
        <v>5</v>
      </c>
      <c r="H17" s="8">
        <v>1.36</v>
      </c>
      <c r="I17" s="12">
        <v>0</v>
      </c>
    </row>
    <row r="18" spans="2:9" ht="15" customHeight="1" x14ac:dyDescent="0.2">
      <c r="B18" t="s">
        <v>74</v>
      </c>
      <c r="C18" s="12">
        <v>29</v>
      </c>
      <c r="D18" s="8">
        <v>3.08</v>
      </c>
      <c r="E18" s="12">
        <v>20</v>
      </c>
      <c r="F18" s="8">
        <v>3.55</v>
      </c>
      <c r="G18" s="12">
        <v>2</v>
      </c>
      <c r="H18" s="8">
        <v>0.54</v>
      </c>
      <c r="I18" s="12">
        <v>0</v>
      </c>
    </row>
    <row r="19" spans="2:9" ht="15" customHeight="1" x14ac:dyDescent="0.2">
      <c r="B19" t="s">
        <v>75</v>
      </c>
      <c r="C19" s="12">
        <v>38</v>
      </c>
      <c r="D19" s="8">
        <v>4.03</v>
      </c>
      <c r="E19" s="12">
        <v>25</v>
      </c>
      <c r="F19" s="8">
        <v>4.4400000000000004</v>
      </c>
      <c r="G19" s="12">
        <v>12</v>
      </c>
      <c r="H19" s="8">
        <v>3.26</v>
      </c>
      <c r="I19" s="12">
        <v>0</v>
      </c>
    </row>
    <row r="20" spans="2:9" ht="15" customHeight="1" x14ac:dyDescent="0.2">
      <c r="B20" s="9" t="s">
        <v>248</v>
      </c>
      <c r="C20" s="12">
        <f>SUM(LTBL_12235[総数／事業所数])</f>
        <v>943</v>
      </c>
      <c r="E20" s="12">
        <f>SUBTOTAL(109,LTBL_12235[個人／事業所数])</f>
        <v>563</v>
      </c>
      <c r="G20" s="12">
        <f>SUBTOTAL(109,LTBL_12235[法人／事業所数])</f>
        <v>368</v>
      </c>
      <c r="I20" s="12">
        <f>SUBTOTAL(109,LTBL_12235[法人以外の団体／事業所数])</f>
        <v>1</v>
      </c>
    </row>
    <row r="21" spans="2:9" ht="15" customHeight="1" x14ac:dyDescent="0.2">
      <c r="E21" s="11">
        <f>LTBL_12235[[#Totals],[個人／事業所数]]/LTBL_12235[[#Totals],[総数／事業所数]]</f>
        <v>0.59703075291622476</v>
      </c>
      <c r="G21" s="11">
        <f>LTBL_12235[[#Totals],[法人／事業所数]]/LTBL_12235[[#Totals],[総数／事業所数]]</f>
        <v>0.3902439024390244</v>
      </c>
      <c r="I21" s="11">
        <f>LTBL_12235[[#Totals],[法人以外の団体／事業所数]]/LTBL_12235[[#Totals],[総数／事業所数]]</f>
        <v>1.0604453870625664E-3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123</v>
      </c>
      <c r="D24" s="8">
        <v>13.04</v>
      </c>
      <c r="E24" s="12">
        <v>117</v>
      </c>
      <c r="F24" s="8">
        <v>20.78</v>
      </c>
      <c r="G24" s="12">
        <v>6</v>
      </c>
      <c r="H24" s="8">
        <v>1.63</v>
      </c>
      <c r="I24" s="12">
        <v>0</v>
      </c>
    </row>
    <row r="25" spans="2:9" ht="15" customHeight="1" x14ac:dyDescent="0.2">
      <c r="B25" t="s">
        <v>85</v>
      </c>
      <c r="C25" s="12">
        <v>94</v>
      </c>
      <c r="D25" s="8">
        <v>9.9700000000000006</v>
      </c>
      <c r="E25" s="12">
        <v>69</v>
      </c>
      <c r="F25" s="8">
        <v>12.26</v>
      </c>
      <c r="G25" s="12">
        <v>25</v>
      </c>
      <c r="H25" s="8">
        <v>6.79</v>
      </c>
      <c r="I25" s="12">
        <v>0</v>
      </c>
    </row>
    <row r="26" spans="2:9" ht="15" customHeight="1" x14ac:dyDescent="0.2">
      <c r="B26" t="s">
        <v>84</v>
      </c>
      <c r="C26" s="12">
        <v>93</v>
      </c>
      <c r="D26" s="8">
        <v>9.86</v>
      </c>
      <c r="E26" s="12">
        <v>27</v>
      </c>
      <c r="F26" s="8">
        <v>4.8</v>
      </c>
      <c r="G26" s="12">
        <v>66</v>
      </c>
      <c r="H26" s="8">
        <v>17.93</v>
      </c>
      <c r="I26" s="12">
        <v>0</v>
      </c>
    </row>
    <row r="27" spans="2:9" ht="15" customHeight="1" x14ac:dyDescent="0.2">
      <c r="B27" t="s">
        <v>97</v>
      </c>
      <c r="C27" s="12">
        <v>81</v>
      </c>
      <c r="D27" s="8">
        <v>8.59</v>
      </c>
      <c r="E27" s="12">
        <v>71</v>
      </c>
      <c r="F27" s="8">
        <v>12.61</v>
      </c>
      <c r="G27" s="12">
        <v>10</v>
      </c>
      <c r="H27" s="8">
        <v>2.72</v>
      </c>
      <c r="I27" s="12">
        <v>0</v>
      </c>
    </row>
    <row r="28" spans="2:9" ht="15" customHeight="1" x14ac:dyDescent="0.2">
      <c r="B28" t="s">
        <v>92</v>
      </c>
      <c r="C28" s="12">
        <v>70</v>
      </c>
      <c r="D28" s="8">
        <v>7.42</v>
      </c>
      <c r="E28" s="12">
        <v>39</v>
      </c>
      <c r="F28" s="8">
        <v>6.93</v>
      </c>
      <c r="G28" s="12">
        <v>31</v>
      </c>
      <c r="H28" s="8">
        <v>8.42</v>
      </c>
      <c r="I28" s="12">
        <v>0</v>
      </c>
    </row>
    <row r="29" spans="2:9" ht="15" customHeight="1" x14ac:dyDescent="0.2">
      <c r="B29" t="s">
        <v>90</v>
      </c>
      <c r="C29" s="12">
        <v>65</v>
      </c>
      <c r="D29" s="8">
        <v>6.89</v>
      </c>
      <c r="E29" s="12">
        <v>53</v>
      </c>
      <c r="F29" s="8">
        <v>9.41</v>
      </c>
      <c r="G29" s="12">
        <v>11</v>
      </c>
      <c r="H29" s="8">
        <v>2.99</v>
      </c>
      <c r="I29" s="12">
        <v>1</v>
      </c>
    </row>
    <row r="30" spans="2:9" ht="15" customHeight="1" x14ac:dyDescent="0.2">
      <c r="B30" t="s">
        <v>86</v>
      </c>
      <c r="C30" s="12">
        <v>45</v>
      </c>
      <c r="D30" s="8">
        <v>4.7699999999999996</v>
      </c>
      <c r="E30" s="12">
        <v>19</v>
      </c>
      <c r="F30" s="8">
        <v>3.37</v>
      </c>
      <c r="G30" s="12">
        <v>26</v>
      </c>
      <c r="H30" s="8">
        <v>7.07</v>
      </c>
      <c r="I30" s="12">
        <v>0</v>
      </c>
    </row>
    <row r="31" spans="2:9" ht="15" customHeight="1" x14ac:dyDescent="0.2">
      <c r="B31" t="s">
        <v>91</v>
      </c>
      <c r="C31" s="12">
        <v>33</v>
      </c>
      <c r="D31" s="8">
        <v>3.5</v>
      </c>
      <c r="E31" s="12">
        <v>20</v>
      </c>
      <c r="F31" s="8">
        <v>3.55</v>
      </c>
      <c r="G31" s="12">
        <v>13</v>
      </c>
      <c r="H31" s="8">
        <v>3.53</v>
      </c>
      <c r="I31" s="12">
        <v>0</v>
      </c>
    </row>
    <row r="32" spans="2:9" ht="15" customHeight="1" x14ac:dyDescent="0.2">
      <c r="B32" t="s">
        <v>94</v>
      </c>
      <c r="C32" s="12">
        <v>29</v>
      </c>
      <c r="D32" s="8">
        <v>3.08</v>
      </c>
      <c r="E32" s="12">
        <v>8</v>
      </c>
      <c r="F32" s="8">
        <v>1.42</v>
      </c>
      <c r="G32" s="12">
        <v>20</v>
      </c>
      <c r="H32" s="8">
        <v>5.43</v>
      </c>
      <c r="I32" s="12">
        <v>0</v>
      </c>
    </row>
    <row r="33" spans="2:9" ht="15" customHeight="1" x14ac:dyDescent="0.2">
      <c r="B33" t="s">
        <v>103</v>
      </c>
      <c r="C33" s="12">
        <v>27</v>
      </c>
      <c r="D33" s="8">
        <v>2.86</v>
      </c>
      <c r="E33" s="12">
        <v>22</v>
      </c>
      <c r="F33" s="8">
        <v>3.91</v>
      </c>
      <c r="G33" s="12">
        <v>5</v>
      </c>
      <c r="H33" s="8">
        <v>1.36</v>
      </c>
      <c r="I33" s="12">
        <v>0</v>
      </c>
    </row>
    <row r="34" spans="2:9" ht="15" customHeight="1" x14ac:dyDescent="0.2">
      <c r="B34" t="s">
        <v>101</v>
      </c>
      <c r="C34" s="12">
        <v>21</v>
      </c>
      <c r="D34" s="8">
        <v>2.23</v>
      </c>
      <c r="E34" s="12">
        <v>20</v>
      </c>
      <c r="F34" s="8">
        <v>3.55</v>
      </c>
      <c r="G34" s="12">
        <v>1</v>
      </c>
      <c r="H34" s="8">
        <v>0.27</v>
      </c>
      <c r="I34" s="12">
        <v>0</v>
      </c>
    </row>
    <row r="35" spans="2:9" ht="15" customHeight="1" x14ac:dyDescent="0.2">
      <c r="B35" t="s">
        <v>89</v>
      </c>
      <c r="C35" s="12">
        <v>20</v>
      </c>
      <c r="D35" s="8">
        <v>2.12</v>
      </c>
      <c r="E35" s="12">
        <v>9</v>
      </c>
      <c r="F35" s="8">
        <v>1.6</v>
      </c>
      <c r="G35" s="12">
        <v>11</v>
      </c>
      <c r="H35" s="8">
        <v>2.99</v>
      </c>
      <c r="I35" s="12">
        <v>0</v>
      </c>
    </row>
    <row r="36" spans="2:9" ht="15" customHeight="1" x14ac:dyDescent="0.2">
      <c r="B36" t="s">
        <v>100</v>
      </c>
      <c r="C36" s="12">
        <v>20</v>
      </c>
      <c r="D36" s="8">
        <v>2.12</v>
      </c>
      <c r="E36" s="12">
        <v>14</v>
      </c>
      <c r="F36" s="8">
        <v>2.4900000000000002</v>
      </c>
      <c r="G36" s="12">
        <v>5</v>
      </c>
      <c r="H36" s="8">
        <v>1.36</v>
      </c>
      <c r="I36" s="12">
        <v>0</v>
      </c>
    </row>
    <row r="37" spans="2:9" ht="15" customHeight="1" x14ac:dyDescent="0.2">
      <c r="B37" t="s">
        <v>110</v>
      </c>
      <c r="C37" s="12">
        <v>15</v>
      </c>
      <c r="D37" s="8">
        <v>1.59</v>
      </c>
      <c r="E37" s="12">
        <v>6</v>
      </c>
      <c r="F37" s="8">
        <v>1.07</v>
      </c>
      <c r="G37" s="12">
        <v>9</v>
      </c>
      <c r="H37" s="8">
        <v>2.4500000000000002</v>
      </c>
      <c r="I37" s="12">
        <v>0</v>
      </c>
    </row>
    <row r="38" spans="2:9" ht="15" customHeight="1" x14ac:dyDescent="0.2">
      <c r="B38" t="s">
        <v>95</v>
      </c>
      <c r="C38" s="12">
        <v>15</v>
      </c>
      <c r="D38" s="8">
        <v>1.59</v>
      </c>
      <c r="E38" s="12">
        <v>11</v>
      </c>
      <c r="F38" s="8">
        <v>1.95</v>
      </c>
      <c r="G38" s="12">
        <v>4</v>
      </c>
      <c r="H38" s="8">
        <v>1.0900000000000001</v>
      </c>
      <c r="I38" s="12">
        <v>0</v>
      </c>
    </row>
    <row r="39" spans="2:9" ht="15" customHeight="1" x14ac:dyDescent="0.2">
      <c r="B39" t="s">
        <v>96</v>
      </c>
      <c r="C39" s="12">
        <v>15</v>
      </c>
      <c r="D39" s="8">
        <v>1.59</v>
      </c>
      <c r="E39" s="12">
        <v>6</v>
      </c>
      <c r="F39" s="8">
        <v>1.07</v>
      </c>
      <c r="G39" s="12">
        <v>9</v>
      </c>
      <c r="H39" s="8">
        <v>2.4500000000000002</v>
      </c>
      <c r="I39" s="12">
        <v>0</v>
      </c>
    </row>
    <row r="40" spans="2:9" ht="15" customHeight="1" x14ac:dyDescent="0.2">
      <c r="B40" t="s">
        <v>99</v>
      </c>
      <c r="C40" s="12">
        <v>13</v>
      </c>
      <c r="D40" s="8">
        <v>1.38</v>
      </c>
      <c r="E40" s="12">
        <v>7</v>
      </c>
      <c r="F40" s="8">
        <v>1.24</v>
      </c>
      <c r="G40" s="12">
        <v>6</v>
      </c>
      <c r="H40" s="8">
        <v>1.63</v>
      </c>
      <c r="I40" s="12">
        <v>0</v>
      </c>
    </row>
    <row r="41" spans="2:9" ht="15" customHeight="1" x14ac:dyDescent="0.2">
      <c r="B41" t="s">
        <v>109</v>
      </c>
      <c r="C41" s="12">
        <v>12</v>
      </c>
      <c r="D41" s="8">
        <v>1.27</v>
      </c>
      <c r="E41" s="12">
        <v>5</v>
      </c>
      <c r="F41" s="8">
        <v>0.89</v>
      </c>
      <c r="G41" s="12">
        <v>7</v>
      </c>
      <c r="H41" s="8">
        <v>1.9</v>
      </c>
      <c r="I41" s="12">
        <v>0</v>
      </c>
    </row>
    <row r="42" spans="2:9" ht="15" customHeight="1" x14ac:dyDescent="0.2">
      <c r="B42" t="s">
        <v>93</v>
      </c>
      <c r="C42" s="12">
        <v>11</v>
      </c>
      <c r="D42" s="8">
        <v>1.17</v>
      </c>
      <c r="E42" s="12">
        <v>0</v>
      </c>
      <c r="F42" s="8">
        <v>0</v>
      </c>
      <c r="G42" s="12">
        <v>11</v>
      </c>
      <c r="H42" s="8">
        <v>2.99</v>
      </c>
      <c r="I42" s="12">
        <v>0</v>
      </c>
    </row>
    <row r="43" spans="2:9" ht="15" customHeight="1" x14ac:dyDescent="0.2">
      <c r="B43" t="s">
        <v>87</v>
      </c>
      <c r="C43" s="12">
        <v>9</v>
      </c>
      <c r="D43" s="8">
        <v>0.95</v>
      </c>
      <c r="E43" s="12">
        <v>3</v>
      </c>
      <c r="F43" s="8">
        <v>0.53</v>
      </c>
      <c r="G43" s="12">
        <v>6</v>
      </c>
      <c r="H43" s="8">
        <v>1.63</v>
      </c>
      <c r="I43" s="12">
        <v>0</v>
      </c>
    </row>
    <row r="44" spans="2:9" ht="15" customHeight="1" x14ac:dyDescent="0.2">
      <c r="B44" t="s">
        <v>104</v>
      </c>
      <c r="C44" s="12">
        <v>9</v>
      </c>
      <c r="D44" s="8">
        <v>0.95</v>
      </c>
      <c r="E44" s="12">
        <v>2</v>
      </c>
      <c r="F44" s="8">
        <v>0.36</v>
      </c>
      <c r="G44" s="12">
        <v>7</v>
      </c>
      <c r="H44" s="8">
        <v>1.9</v>
      </c>
      <c r="I44" s="12">
        <v>0</v>
      </c>
    </row>
    <row r="47" spans="2:9" ht="33" customHeight="1" x14ac:dyDescent="0.2">
      <c r="B47" t="s">
        <v>250</v>
      </c>
      <c r="C47" s="10" t="s">
        <v>77</v>
      </c>
      <c r="D47" s="10" t="s">
        <v>78</v>
      </c>
      <c r="E47" s="10" t="s">
        <v>79</v>
      </c>
      <c r="F47" s="10" t="s">
        <v>80</v>
      </c>
      <c r="G47" s="10" t="s">
        <v>81</v>
      </c>
      <c r="H47" s="10" t="s">
        <v>82</v>
      </c>
      <c r="I47" s="10" t="s">
        <v>83</v>
      </c>
    </row>
    <row r="48" spans="2:9" ht="15" customHeight="1" x14ac:dyDescent="0.2">
      <c r="B48" t="s">
        <v>164</v>
      </c>
      <c r="C48" s="12">
        <v>63</v>
      </c>
      <c r="D48" s="8">
        <v>6.68</v>
      </c>
      <c r="E48" s="12">
        <v>60</v>
      </c>
      <c r="F48" s="8">
        <v>10.66</v>
      </c>
      <c r="G48" s="12">
        <v>3</v>
      </c>
      <c r="H48" s="8">
        <v>0.82</v>
      </c>
      <c r="I48" s="12">
        <v>0</v>
      </c>
    </row>
    <row r="49" spans="2:9" ht="15" customHeight="1" x14ac:dyDescent="0.2">
      <c r="B49" t="s">
        <v>163</v>
      </c>
      <c r="C49" s="12">
        <v>48</v>
      </c>
      <c r="D49" s="8">
        <v>5.09</v>
      </c>
      <c r="E49" s="12">
        <v>48</v>
      </c>
      <c r="F49" s="8">
        <v>8.5299999999999994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148</v>
      </c>
      <c r="C50" s="12">
        <v>39</v>
      </c>
      <c r="D50" s="8">
        <v>4.1399999999999997</v>
      </c>
      <c r="E50" s="12">
        <v>6</v>
      </c>
      <c r="F50" s="8">
        <v>1.07</v>
      </c>
      <c r="G50" s="12">
        <v>33</v>
      </c>
      <c r="H50" s="8">
        <v>8.9700000000000006</v>
      </c>
      <c r="I50" s="12">
        <v>0</v>
      </c>
    </row>
    <row r="51" spans="2:9" ht="15" customHeight="1" x14ac:dyDescent="0.2">
      <c r="B51" t="s">
        <v>150</v>
      </c>
      <c r="C51" s="12">
        <v>36</v>
      </c>
      <c r="D51" s="8">
        <v>3.82</v>
      </c>
      <c r="E51" s="12">
        <v>18</v>
      </c>
      <c r="F51" s="8">
        <v>3.2</v>
      </c>
      <c r="G51" s="12">
        <v>18</v>
      </c>
      <c r="H51" s="8">
        <v>4.8899999999999997</v>
      </c>
      <c r="I51" s="12">
        <v>0</v>
      </c>
    </row>
    <row r="52" spans="2:9" ht="15" customHeight="1" x14ac:dyDescent="0.2">
      <c r="B52" t="s">
        <v>197</v>
      </c>
      <c r="C52" s="12">
        <v>31</v>
      </c>
      <c r="D52" s="8">
        <v>3.29</v>
      </c>
      <c r="E52" s="12">
        <v>29</v>
      </c>
      <c r="F52" s="8">
        <v>5.15</v>
      </c>
      <c r="G52" s="12">
        <v>2</v>
      </c>
      <c r="H52" s="8">
        <v>0.54</v>
      </c>
      <c r="I52" s="12">
        <v>0</v>
      </c>
    </row>
    <row r="53" spans="2:9" ht="15" customHeight="1" x14ac:dyDescent="0.2">
      <c r="B53" t="s">
        <v>167</v>
      </c>
      <c r="C53" s="12">
        <v>27</v>
      </c>
      <c r="D53" s="8">
        <v>2.86</v>
      </c>
      <c r="E53" s="12">
        <v>22</v>
      </c>
      <c r="F53" s="8">
        <v>3.91</v>
      </c>
      <c r="G53" s="12">
        <v>5</v>
      </c>
      <c r="H53" s="8">
        <v>1.36</v>
      </c>
      <c r="I53" s="12">
        <v>0</v>
      </c>
    </row>
    <row r="54" spans="2:9" ht="15" customHeight="1" x14ac:dyDescent="0.2">
      <c r="B54" t="s">
        <v>189</v>
      </c>
      <c r="C54" s="12">
        <v>24</v>
      </c>
      <c r="D54" s="8">
        <v>2.5499999999999998</v>
      </c>
      <c r="E54" s="12">
        <v>23</v>
      </c>
      <c r="F54" s="8">
        <v>4.09</v>
      </c>
      <c r="G54" s="12">
        <v>1</v>
      </c>
      <c r="H54" s="8">
        <v>0.27</v>
      </c>
      <c r="I54" s="12">
        <v>0</v>
      </c>
    </row>
    <row r="55" spans="2:9" ht="15" customHeight="1" x14ac:dyDescent="0.2">
      <c r="B55" t="s">
        <v>161</v>
      </c>
      <c r="C55" s="12">
        <v>23</v>
      </c>
      <c r="D55" s="8">
        <v>2.44</v>
      </c>
      <c r="E55" s="12">
        <v>19</v>
      </c>
      <c r="F55" s="8">
        <v>3.37</v>
      </c>
      <c r="G55" s="12">
        <v>4</v>
      </c>
      <c r="H55" s="8">
        <v>1.0900000000000001</v>
      </c>
      <c r="I55" s="12">
        <v>0</v>
      </c>
    </row>
    <row r="56" spans="2:9" ht="15" customHeight="1" x14ac:dyDescent="0.2">
      <c r="B56" t="s">
        <v>155</v>
      </c>
      <c r="C56" s="12">
        <v>20</v>
      </c>
      <c r="D56" s="8">
        <v>2.12</v>
      </c>
      <c r="E56" s="12">
        <v>9</v>
      </c>
      <c r="F56" s="8">
        <v>1.6</v>
      </c>
      <c r="G56" s="12">
        <v>11</v>
      </c>
      <c r="H56" s="8">
        <v>2.99</v>
      </c>
      <c r="I56" s="12">
        <v>0</v>
      </c>
    </row>
    <row r="57" spans="2:9" ht="15" customHeight="1" x14ac:dyDescent="0.2">
      <c r="B57" t="s">
        <v>162</v>
      </c>
      <c r="C57" s="12">
        <v>20</v>
      </c>
      <c r="D57" s="8">
        <v>2.12</v>
      </c>
      <c r="E57" s="12">
        <v>20</v>
      </c>
      <c r="F57" s="8">
        <v>3.55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152</v>
      </c>
      <c r="C58" s="12">
        <v>19</v>
      </c>
      <c r="D58" s="8">
        <v>2.0099999999999998</v>
      </c>
      <c r="E58" s="12">
        <v>9</v>
      </c>
      <c r="F58" s="8">
        <v>1.6</v>
      </c>
      <c r="G58" s="12">
        <v>10</v>
      </c>
      <c r="H58" s="8">
        <v>2.72</v>
      </c>
      <c r="I58" s="12">
        <v>0</v>
      </c>
    </row>
    <row r="59" spans="2:9" ht="15" customHeight="1" x14ac:dyDescent="0.2">
      <c r="B59" t="s">
        <v>154</v>
      </c>
      <c r="C59" s="12">
        <v>19</v>
      </c>
      <c r="D59" s="8">
        <v>2.0099999999999998</v>
      </c>
      <c r="E59" s="12">
        <v>15</v>
      </c>
      <c r="F59" s="8">
        <v>2.66</v>
      </c>
      <c r="G59" s="12">
        <v>4</v>
      </c>
      <c r="H59" s="8">
        <v>1.0900000000000001</v>
      </c>
      <c r="I59" s="12">
        <v>0</v>
      </c>
    </row>
    <row r="60" spans="2:9" ht="15" customHeight="1" x14ac:dyDescent="0.2">
      <c r="B60" t="s">
        <v>153</v>
      </c>
      <c r="C60" s="12">
        <v>18</v>
      </c>
      <c r="D60" s="8">
        <v>1.91</v>
      </c>
      <c r="E60" s="12">
        <v>9</v>
      </c>
      <c r="F60" s="8">
        <v>1.6</v>
      </c>
      <c r="G60" s="12">
        <v>9</v>
      </c>
      <c r="H60" s="8">
        <v>2.4500000000000002</v>
      </c>
      <c r="I60" s="12">
        <v>0</v>
      </c>
    </row>
    <row r="61" spans="2:9" ht="15" customHeight="1" x14ac:dyDescent="0.2">
      <c r="B61" t="s">
        <v>192</v>
      </c>
      <c r="C61" s="12">
        <v>18</v>
      </c>
      <c r="D61" s="8">
        <v>1.91</v>
      </c>
      <c r="E61" s="12">
        <v>14</v>
      </c>
      <c r="F61" s="8">
        <v>2.4900000000000002</v>
      </c>
      <c r="G61" s="12">
        <v>4</v>
      </c>
      <c r="H61" s="8">
        <v>1.0900000000000001</v>
      </c>
      <c r="I61" s="12">
        <v>0</v>
      </c>
    </row>
    <row r="62" spans="2:9" ht="15" customHeight="1" x14ac:dyDescent="0.2">
      <c r="B62" t="s">
        <v>168</v>
      </c>
      <c r="C62" s="12">
        <v>17</v>
      </c>
      <c r="D62" s="8">
        <v>1.8</v>
      </c>
      <c r="E62" s="12">
        <v>4</v>
      </c>
      <c r="F62" s="8">
        <v>0.71</v>
      </c>
      <c r="G62" s="12">
        <v>13</v>
      </c>
      <c r="H62" s="8">
        <v>3.53</v>
      </c>
      <c r="I62" s="12">
        <v>0</v>
      </c>
    </row>
    <row r="63" spans="2:9" ht="15" customHeight="1" x14ac:dyDescent="0.2">
      <c r="B63" t="s">
        <v>174</v>
      </c>
      <c r="C63" s="12">
        <v>15</v>
      </c>
      <c r="D63" s="8">
        <v>1.59</v>
      </c>
      <c r="E63" s="12">
        <v>6</v>
      </c>
      <c r="F63" s="8">
        <v>1.07</v>
      </c>
      <c r="G63" s="12">
        <v>9</v>
      </c>
      <c r="H63" s="8">
        <v>2.4500000000000002</v>
      </c>
      <c r="I63" s="12">
        <v>0</v>
      </c>
    </row>
    <row r="64" spans="2:9" ht="15" customHeight="1" x14ac:dyDescent="0.2">
      <c r="B64" t="s">
        <v>191</v>
      </c>
      <c r="C64" s="12">
        <v>15</v>
      </c>
      <c r="D64" s="8">
        <v>1.59</v>
      </c>
      <c r="E64" s="12">
        <v>9</v>
      </c>
      <c r="F64" s="8">
        <v>1.6</v>
      </c>
      <c r="G64" s="12">
        <v>6</v>
      </c>
      <c r="H64" s="8">
        <v>1.63</v>
      </c>
      <c r="I64" s="12">
        <v>0</v>
      </c>
    </row>
    <row r="65" spans="2:9" ht="15" customHeight="1" x14ac:dyDescent="0.2">
      <c r="B65" t="s">
        <v>158</v>
      </c>
      <c r="C65" s="12">
        <v>15</v>
      </c>
      <c r="D65" s="8">
        <v>1.59</v>
      </c>
      <c r="E65" s="12">
        <v>6</v>
      </c>
      <c r="F65" s="8">
        <v>1.07</v>
      </c>
      <c r="G65" s="12">
        <v>8</v>
      </c>
      <c r="H65" s="8">
        <v>2.17</v>
      </c>
      <c r="I65" s="12">
        <v>0</v>
      </c>
    </row>
    <row r="66" spans="2:9" ht="15" customHeight="1" x14ac:dyDescent="0.2">
      <c r="B66" t="s">
        <v>166</v>
      </c>
      <c r="C66" s="12">
        <v>15</v>
      </c>
      <c r="D66" s="8">
        <v>1.59</v>
      </c>
      <c r="E66" s="12">
        <v>14</v>
      </c>
      <c r="F66" s="8">
        <v>2.4900000000000002</v>
      </c>
      <c r="G66" s="12">
        <v>1</v>
      </c>
      <c r="H66" s="8">
        <v>0.27</v>
      </c>
      <c r="I66" s="12">
        <v>0</v>
      </c>
    </row>
    <row r="67" spans="2:9" ht="15" customHeight="1" x14ac:dyDescent="0.2">
      <c r="B67" t="s">
        <v>156</v>
      </c>
      <c r="C67" s="12">
        <v>14</v>
      </c>
      <c r="D67" s="8">
        <v>1.48</v>
      </c>
      <c r="E67" s="12">
        <v>8</v>
      </c>
      <c r="F67" s="8">
        <v>1.42</v>
      </c>
      <c r="G67" s="12">
        <v>6</v>
      </c>
      <c r="H67" s="8">
        <v>1.63</v>
      </c>
      <c r="I67" s="12">
        <v>0</v>
      </c>
    </row>
    <row r="69" spans="2:9" ht="15" customHeight="1" x14ac:dyDescent="0.2">
      <c r="B69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2BBF8-F5AA-4F3F-AD61-3A610B1F612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291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0.12</v>
      </c>
      <c r="I5" s="12">
        <v>0</v>
      </c>
    </row>
    <row r="6" spans="2:9" ht="15" customHeight="1" x14ac:dyDescent="0.2">
      <c r="B6" t="s">
        <v>62</v>
      </c>
      <c r="C6" s="12">
        <v>399</v>
      </c>
      <c r="D6" s="8">
        <v>20.25</v>
      </c>
      <c r="E6" s="12">
        <v>177</v>
      </c>
      <c r="F6" s="8">
        <v>15.27</v>
      </c>
      <c r="G6" s="12">
        <v>222</v>
      </c>
      <c r="H6" s="8">
        <v>27.72</v>
      </c>
      <c r="I6" s="12">
        <v>0</v>
      </c>
    </row>
    <row r="7" spans="2:9" ht="15" customHeight="1" x14ac:dyDescent="0.2">
      <c r="B7" t="s">
        <v>63</v>
      </c>
      <c r="C7" s="12">
        <v>131</v>
      </c>
      <c r="D7" s="8">
        <v>6.65</v>
      </c>
      <c r="E7" s="12">
        <v>54</v>
      </c>
      <c r="F7" s="8">
        <v>4.66</v>
      </c>
      <c r="G7" s="12">
        <v>77</v>
      </c>
      <c r="H7" s="8">
        <v>9.61</v>
      </c>
      <c r="I7" s="12">
        <v>0</v>
      </c>
    </row>
    <row r="8" spans="2:9" ht="15" customHeight="1" x14ac:dyDescent="0.2">
      <c r="B8" t="s">
        <v>64</v>
      </c>
      <c r="C8" s="12">
        <v>6</v>
      </c>
      <c r="D8" s="8">
        <v>0.3</v>
      </c>
      <c r="E8" s="12">
        <v>0</v>
      </c>
      <c r="F8" s="8">
        <v>0</v>
      </c>
      <c r="G8" s="12">
        <v>6</v>
      </c>
      <c r="H8" s="8">
        <v>0.75</v>
      </c>
      <c r="I8" s="12">
        <v>0</v>
      </c>
    </row>
    <row r="9" spans="2:9" ht="15" customHeight="1" x14ac:dyDescent="0.2">
      <c r="B9" t="s">
        <v>65</v>
      </c>
      <c r="C9" s="12">
        <v>6</v>
      </c>
      <c r="D9" s="8">
        <v>0.3</v>
      </c>
      <c r="E9" s="12">
        <v>0</v>
      </c>
      <c r="F9" s="8">
        <v>0</v>
      </c>
      <c r="G9" s="12">
        <v>6</v>
      </c>
      <c r="H9" s="8">
        <v>0.75</v>
      </c>
      <c r="I9" s="12">
        <v>0</v>
      </c>
    </row>
    <row r="10" spans="2:9" ht="15" customHeight="1" x14ac:dyDescent="0.2">
      <c r="B10" t="s">
        <v>66</v>
      </c>
      <c r="C10" s="12">
        <v>17</v>
      </c>
      <c r="D10" s="8">
        <v>0.86</v>
      </c>
      <c r="E10" s="12">
        <v>1</v>
      </c>
      <c r="F10" s="8">
        <v>0.09</v>
      </c>
      <c r="G10" s="12">
        <v>16</v>
      </c>
      <c r="H10" s="8">
        <v>2</v>
      </c>
      <c r="I10" s="12">
        <v>0</v>
      </c>
    </row>
    <row r="11" spans="2:9" ht="15" customHeight="1" x14ac:dyDescent="0.2">
      <c r="B11" t="s">
        <v>67</v>
      </c>
      <c r="C11" s="12">
        <v>579</v>
      </c>
      <c r="D11" s="8">
        <v>29.39</v>
      </c>
      <c r="E11" s="12">
        <v>330</v>
      </c>
      <c r="F11" s="8">
        <v>28.47</v>
      </c>
      <c r="G11" s="12">
        <v>249</v>
      </c>
      <c r="H11" s="8">
        <v>31.09</v>
      </c>
      <c r="I11" s="12">
        <v>0</v>
      </c>
    </row>
    <row r="12" spans="2:9" ht="15" customHeight="1" x14ac:dyDescent="0.2">
      <c r="B12" t="s">
        <v>68</v>
      </c>
      <c r="C12" s="12">
        <v>13</v>
      </c>
      <c r="D12" s="8">
        <v>0.66</v>
      </c>
      <c r="E12" s="12">
        <v>2</v>
      </c>
      <c r="F12" s="8">
        <v>0.17</v>
      </c>
      <c r="G12" s="12">
        <v>11</v>
      </c>
      <c r="H12" s="8">
        <v>1.37</v>
      </c>
      <c r="I12" s="12">
        <v>0</v>
      </c>
    </row>
    <row r="13" spans="2:9" ht="15" customHeight="1" x14ac:dyDescent="0.2">
      <c r="B13" t="s">
        <v>69</v>
      </c>
      <c r="C13" s="12">
        <v>111</v>
      </c>
      <c r="D13" s="8">
        <v>5.63</v>
      </c>
      <c r="E13" s="12">
        <v>47</v>
      </c>
      <c r="F13" s="8">
        <v>4.0599999999999996</v>
      </c>
      <c r="G13" s="12">
        <v>64</v>
      </c>
      <c r="H13" s="8">
        <v>7.99</v>
      </c>
      <c r="I13" s="12">
        <v>0</v>
      </c>
    </row>
    <row r="14" spans="2:9" ht="15" customHeight="1" x14ac:dyDescent="0.2">
      <c r="B14" t="s">
        <v>70</v>
      </c>
      <c r="C14" s="12">
        <v>69</v>
      </c>
      <c r="D14" s="8">
        <v>3.5</v>
      </c>
      <c r="E14" s="12">
        <v>39</v>
      </c>
      <c r="F14" s="8">
        <v>3.36</v>
      </c>
      <c r="G14" s="12">
        <v>29</v>
      </c>
      <c r="H14" s="8">
        <v>3.62</v>
      </c>
      <c r="I14" s="12">
        <v>0</v>
      </c>
    </row>
    <row r="15" spans="2:9" ht="15" customHeight="1" x14ac:dyDescent="0.2">
      <c r="B15" t="s">
        <v>71</v>
      </c>
      <c r="C15" s="12">
        <v>190</v>
      </c>
      <c r="D15" s="8">
        <v>9.64</v>
      </c>
      <c r="E15" s="12">
        <v>171</v>
      </c>
      <c r="F15" s="8">
        <v>14.75</v>
      </c>
      <c r="G15" s="12">
        <v>19</v>
      </c>
      <c r="H15" s="8">
        <v>2.37</v>
      </c>
      <c r="I15" s="12">
        <v>0</v>
      </c>
    </row>
    <row r="16" spans="2:9" ht="15" customHeight="1" x14ac:dyDescent="0.2">
      <c r="B16" t="s">
        <v>72</v>
      </c>
      <c r="C16" s="12">
        <v>251</v>
      </c>
      <c r="D16" s="8">
        <v>12.74</v>
      </c>
      <c r="E16" s="12">
        <v>205</v>
      </c>
      <c r="F16" s="8">
        <v>17.690000000000001</v>
      </c>
      <c r="G16" s="12">
        <v>44</v>
      </c>
      <c r="H16" s="8">
        <v>5.49</v>
      </c>
      <c r="I16" s="12">
        <v>0</v>
      </c>
    </row>
    <row r="17" spans="2:9" ht="15" customHeight="1" x14ac:dyDescent="0.2">
      <c r="B17" t="s">
        <v>73</v>
      </c>
      <c r="C17" s="12">
        <v>41</v>
      </c>
      <c r="D17" s="8">
        <v>2.08</v>
      </c>
      <c r="E17" s="12">
        <v>26</v>
      </c>
      <c r="F17" s="8">
        <v>2.2400000000000002</v>
      </c>
      <c r="G17" s="12">
        <v>13</v>
      </c>
      <c r="H17" s="8">
        <v>1.62</v>
      </c>
      <c r="I17" s="12">
        <v>0</v>
      </c>
    </row>
    <row r="18" spans="2:9" ht="15" customHeight="1" x14ac:dyDescent="0.2">
      <c r="B18" t="s">
        <v>74</v>
      </c>
      <c r="C18" s="12">
        <v>68</v>
      </c>
      <c r="D18" s="8">
        <v>3.45</v>
      </c>
      <c r="E18" s="12">
        <v>50</v>
      </c>
      <c r="F18" s="8">
        <v>4.3099999999999996</v>
      </c>
      <c r="G18" s="12">
        <v>17</v>
      </c>
      <c r="H18" s="8">
        <v>2.12</v>
      </c>
      <c r="I18" s="12">
        <v>0</v>
      </c>
    </row>
    <row r="19" spans="2:9" ht="15" customHeight="1" x14ac:dyDescent="0.2">
      <c r="B19" t="s">
        <v>75</v>
      </c>
      <c r="C19" s="12">
        <v>88</v>
      </c>
      <c r="D19" s="8">
        <v>4.47</v>
      </c>
      <c r="E19" s="12">
        <v>57</v>
      </c>
      <c r="F19" s="8">
        <v>4.92</v>
      </c>
      <c r="G19" s="12">
        <v>27</v>
      </c>
      <c r="H19" s="8">
        <v>3.37</v>
      </c>
      <c r="I19" s="12">
        <v>1</v>
      </c>
    </row>
    <row r="20" spans="2:9" ht="15" customHeight="1" x14ac:dyDescent="0.2">
      <c r="B20" s="9" t="s">
        <v>248</v>
      </c>
      <c r="C20" s="12">
        <f>SUM(LTBL_12236[総数／事業所数])</f>
        <v>1970</v>
      </c>
      <c r="E20" s="12">
        <f>SUBTOTAL(109,LTBL_12236[個人／事業所数])</f>
        <v>1159</v>
      </c>
      <c r="G20" s="12">
        <f>SUBTOTAL(109,LTBL_12236[法人／事業所数])</f>
        <v>801</v>
      </c>
      <c r="I20" s="12">
        <f>SUBTOTAL(109,LTBL_12236[法人以外の団体／事業所数])</f>
        <v>1</v>
      </c>
    </row>
    <row r="21" spans="2:9" ht="15" customHeight="1" x14ac:dyDescent="0.2">
      <c r="E21" s="11">
        <f>LTBL_12236[[#Totals],[個人／事業所数]]/LTBL_12236[[#Totals],[総数／事業所数]]</f>
        <v>0.58832487309644665</v>
      </c>
      <c r="G21" s="11">
        <f>LTBL_12236[[#Totals],[法人／事業所数]]/LTBL_12236[[#Totals],[総数／事業所数]]</f>
        <v>0.40659898477157358</v>
      </c>
      <c r="I21" s="11">
        <f>LTBL_12236[[#Totals],[法人以外の団体／事業所数]]/LTBL_12236[[#Totals],[総数／事業所数]]</f>
        <v>5.0761421319796957E-4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213</v>
      </c>
      <c r="D24" s="8">
        <v>10.81</v>
      </c>
      <c r="E24" s="12">
        <v>189</v>
      </c>
      <c r="F24" s="8">
        <v>16.309999999999999</v>
      </c>
      <c r="G24" s="12">
        <v>24</v>
      </c>
      <c r="H24" s="8">
        <v>3</v>
      </c>
      <c r="I24" s="12">
        <v>0</v>
      </c>
    </row>
    <row r="25" spans="2:9" ht="15" customHeight="1" x14ac:dyDescent="0.2">
      <c r="B25" t="s">
        <v>92</v>
      </c>
      <c r="C25" s="12">
        <v>190</v>
      </c>
      <c r="D25" s="8">
        <v>9.64</v>
      </c>
      <c r="E25" s="12">
        <v>113</v>
      </c>
      <c r="F25" s="8">
        <v>9.75</v>
      </c>
      <c r="G25" s="12">
        <v>77</v>
      </c>
      <c r="H25" s="8">
        <v>9.61</v>
      </c>
      <c r="I25" s="12">
        <v>0</v>
      </c>
    </row>
    <row r="26" spans="2:9" ht="15" customHeight="1" x14ac:dyDescent="0.2">
      <c r="B26" t="s">
        <v>97</v>
      </c>
      <c r="C26" s="12">
        <v>180</v>
      </c>
      <c r="D26" s="8">
        <v>9.14</v>
      </c>
      <c r="E26" s="12">
        <v>164</v>
      </c>
      <c r="F26" s="8">
        <v>14.15</v>
      </c>
      <c r="G26" s="12">
        <v>16</v>
      </c>
      <c r="H26" s="8">
        <v>2</v>
      </c>
      <c r="I26" s="12">
        <v>0</v>
      </c>
    </row>
    <row r="27" spans="2:9" ht="15" customHeight="1" x14ac:dyDescent="0.2">
      <c r="B27" t="s">
        <v>84</v>
      </c>
      <c r="C27" s="12">
        <v>156</v>
      </c>
      <c r="D27" s="8">
        <v>7.92</v>
      </c>
      <c r="E27" s="12">
        <v>60</v>
      </c>
      <c r="F27" s="8">
        <v>5.18</v>
      </c>
      <c r="G27" s="12">
        <v>96</v>
      </c>
      <c r="H27" s="8">
        <v>11.99</v>
      </c>
      <c r="I27" s="12">
        <v>0</v>
      </c>
    </row>
    <row r="28" spans="2:9" ht="15" customHeight="1" x14ac:dyDescent="0.2">
      <c r="B28" t="s">
        <v>85</v>
      </c>
      <c r="C28" s="12">
        <v>147</v>
      </c>
      <c r="D28" s="8">
        <v>7.46</v>
      </c>
      <c r="E28" s="12">
        <v>83</v>
      </c>
      <c r="F28" s="8">
        <v>7.16</v>
      </c>
      <c r="G28" s="12">
        <v>64</v>
      </c>
      <c r="H28" s="8">
        <v>7.99</v>
      </c>
      <c r="I28" s="12">
        <v>0</v>
      </c>
    </row>
    <row r="29" spans="2:9" ht="15" customHeight="1" x14ac:dyDescent="0.2">
      <c r="B29" t="s">
        <v>90</v>
      </c>
      <c r="C29" s="12">
        <v>130</v>
      </c>
      <c r="D29" s="8">
        <v>6.6</v>
      </c>
      <c r="E29" s="12">
        <v>103</v>
      </c>
      <c r="F29" s="8">
        <v>8.89</v>
      </c>
      <c r="G29" s="12">
        <v>27</v>
      </c>
      <c r="H29" s="8">
        <v>3.37</v>
      </c>
      <c r="I29" s="12">
        <v>0</v>
      </c>
    </row>
    <row r="30" spans="2:9" ht="15" customHeight="1" x14ac:dyDescent="0.2">
      <c r="B30" t="s">
        <v>86</v>
      </c>
      <c r="C30" s="12">
        <v>96</v>
      </c>
      <c r="D30" s="8">
        <v>4.87</v>
      </c>
      <c r="E30" s="12">
        <v>34</v>
      </c>
      <c r="F30" s="8">
        <v>2.93</v>
      </c>
      <c r="G30" s="12">
        <v>62</v>
      </c>
      <c r="H30" s="8">
        <v>7.74</v>
      </c>
      <c r="I30" s="12">
        <v>0</v>
      </c>
    </row>
    <row r="31" spans="2:9" ht="15" customHeight="1" x14ac:dyDescent="0.2">
      <c r="B31" t="s">
        <v>94</v>
      </c>
      <c r="C31" s="12">
        <v>94</v>
      </c>
      <c r="D31" s="8">
        <v>4.7699999999999996</v>
      </c>
      <c r="E31" s="12">
        <v>45</v>
      </c>
      <c r="F31" s="8">
        <v>3.88</v>
      </c>
      <c r="G31" s="12">
        <v>49</v>
      </c>
      <c r="H31" s="8">
        <v>6.12</v>
      </c>
      <c r="I31" s="12">
        <v>0</v>
      </c>
    </row>
    <row r="32" spans="2:9" ht="15" customHeight="1" x14ac:dyDescent="0.2">
      <c r="B32" t="s">
        <v>91</v>
      </c>
      <c r="C32" s="12">
        <v>75</v>
      </c>
      <c r="D32" s="8">
        <v>3.81</v>
      </c>
      <c r="E32" s="12">
        <v>48</v>
      </c>
      <c r="F32" s="8">
        <v>4.1399999999999997</v>
      </c>
      <c r="G32" s="12">
        <v>27</v>
      </c>
      <c r="H32" s="8">
        <v>3.37</v>
      </c>
      <c r="I32" s="12">
        <v>0</v>
      </c>
    </row>
    <row r="33" spans="2:9" ht="15" customHeight="1" x14ac:dyDescent="0.2">
      <c r="B33" t="s">
        <v>89</v>
      </c>
      <c r="C33" s="12">
        <v>58</v>
      </c>
      <c r="D33" s="8">
        <v>2.94</v>
      </c>
      <c r="E33" s="12">
        <v>27</v>
      </c>
      <c r="F33" s="8">
        <v>2.33</v>
      </c>
      <c r="G33" s="12">
        <v>31</v>
      </c>
      <c r="H33" s="8">
        <v>3.87</v>
      </c>
      <c r="I33" s="12">
        <v>0</v>
      </c>
    </row>
    <row r="34" spans="2:9" ht="15" customHeight="1" x14ac:dyDescent="0.2">
      <c r="B34" t="s">
        <v>103</v>
      </c>
      <c r="C34" s="12">
        <v>58</v>
      </c>
      <c r="D34" s="8">
        <v>2.94</v>
      </c>
      <c r="E34" s="12">
        <v>52</v>
      </c>
      <c r="F34" s="8">
        <v>4.49</v>
      </c>
      <c r="G34" s="12">
        <v>6</v>
      </c>
      <c r="H34" s="8">
        <v>0.75</v>
      </c>
      <c r="I34" s="12">
        <v>0</v>
      </c>
    </row>
    <row r="35" spans="2:9" ht="15" customHeight="1" x14ac:dyDescent="0.2">
      <c r="B35" t="s">
        <v>101</v>
      </c>
      <c r="C35" s="12">
        <v>54</v>
      </c>
      <c r="D35" s="8">
        <v>2.74</v>
      </c>
      <c r="E35" s="12">
        <v>50</v>
      </c>
      <c r="F35" s="8">
        <v>4.3099999999999996</v>
      </c>
      <c r="G35" s="12">
        <v>4</v>
      </c>
      <c r="H35" s="8">
        <v>0.5</v>
      </c>
      <c r="I35" s="12">
        <v>0</v>
      </c>
    </row>
    <row r="36" spans="2:9" ht="15" customHeight="1" x14ac:dyDescent="0.2">
      <c r="B36" t="s">
        <v>87</v>
      </c>
      <c r="C36" s="12">
        <v>52</v>
      </c>
      <c r="D36" s="8">
        <v>2.64</v>
      </c>
      <c r="E36" s="12">
        <v>21</v>
      </c>
      <c r="F36" s="8">
        <v>1.81</v>
      </c>
      <c r="G36" s="12">
        <v>31</v>
      </c>
      <c r="H36" s="8">
        <v>3.87</v>
      </c>
      <c r="I36" s="12">
        <v>0</v>
      </c>
    </row>
    <row r="37" spans="2:9" ht="15" customHeight="1" x14ac:dyDescent="0.2">
      <c r="B37" t="s">
        <v>100</v>
      </c>
      <c r="C37" s="12">
        <v>41</v>
      </c>
      <c r="D37" s="8">
        <v>2.08</v>
      </c>
      <c r="E37" s="12">
        <v>26</v>
      </c>
      <c r="F37" s="8">
        <v>2.2400000000000002</v>
      </c>
      <c r="G37" s="12">
        <v>13</v>
      </c>
      <c r="H37" s="8">
        <v>1.62</v>
      </c>
      <c r="I37" s="12">
        <v>0</v>
      </c>
    </row>
    <row r="38" spans="2:9" ht="15" customHeight="1" x14ac:dyDescent="0.2">
      <c r="B38" t="s">
        <v>96</v>
      </c>
      <c r="C38" s="12">
        <v>34</v>
      </c>
      <c r="D38" s="8">
        <v>1.73</v>
      </c>
      <c r="E38" s="12">
        <v>16</v>
      </c>
      <c r="F38" s="8">
        <v>1.38</v>
      </c>
      <c r="G38" s="12">
        <v>17</v>
      </c>
      <c r="H38" s="8">
        <v>2.12</v>
      </c>
      <c r="I38" s="12">
        <v>0</v>
      </c>
    </row>
    <row r="39" spans="2:9" ht="15" customHeight="1" x14ac:dyDescent="0.2">
      <c r="B39" t="s">
        <v>95</v>
      </c>
      <c r="C39" s="12">
        <v>33</v>
      </c>
      <c r="D39" s="8">
        <v>1.68</v>
      </c>
      <c r="E39" s="12">
        <v>23</v>
      </c>
      <c r="F39" s="8">
        <v>1.98</v>
      </c>
      <c r="G39" s="12">
        <v>10</v>
      </c>
      <c r="H39" s="8">
        <v>1.25</v>
      </c>
      <c r="I39" s="12">
        <v>0</v>
      </c>
    </row>
    <row r="40" spans="2:9" ht="15" customHeight="1" x14ac:dyDescent="0.2">
      <c r="B40" t="s">
        <v>99</v>
      </c>
      <c r="C40" s="12">
        <v>25</v>
      </c>
      <c r="D40" s="8">
        <v>1.27</v>
      </c>
      <c r="E40" s="12">
        <v>14</v>
      </c>
      <c r="F40" s="8">
        <v>1.21</v>
      </c>
      <c r="G40" s="12">
        <v>11</v>
      </c>
      <c r="H40" s="8">
        <v>1.37</v>
      </c>
      <c r="I40" s="12">
        <v>0</v>
      </c>
    </row>
    <row r="41" spans="2:9" ht="15" customHeight="1" x14ac:dyDescent="0.2">
      <c r="B41" t="s">
        <v>109</v>
      </c>
      <c r="C41" s="12">
        <v>24</v>
      </c>
      <c r="D41" s="8">
        <v>1.22</v>
      </c>
      <c r="E41" s="12">
        <v>8</v>
      </c>
      <c r="F41" s="8">
        <v>0.69</v>
      </c>
      <c r="G41" s="12">
        <v>16</v>
      </c>
      <c r="H41" s="8">
        <v>2</v>
      </c>
      <c r="I41" s="12">
        <v>0</v>
      </c>
    </row>
    <row r="42" spans="2:9" ht="15" customHeight="1" x14ac:dyDescent="0.2">
      <c r="B42" t="s">
        <v>104</v>
      </c>
      <c r="C42" s="12">
        <v>23</v>
      </c>
      <c r="D42" s="8">
        <v>1.17</v>
      </c>
      <c r="E42" s="12">
        <v>5</v>
      </c>
      <c r="F42" s="8">
        <v>0.43</v>
      </c>
      <c r="G42" s="12">
        <v>18</v>
      </c>
      <c r="H42" s="8">
        <v>2.25</v>
      </c>
      <c r="I42" s="12">
        <v>0</v>
      </c>
    </row>
    <row r="43" spans="2:9" ht="15" customHeight="1" x14ac:dyDescent="0.2">
      <c r="B43" t="s">
        <v>110</v>
      </c>
      <c r="C43" s="12">
        <v>18</v>
      </c>
      <c r="D43" s="8">
        <v>0.91</v>
      </c>
      <c r="E43" s="12">
        <v>9</v>
      </c>
      <c r="F43" s="8">
        <v>0.78</v>
      </c>
      <c r="G43" s="12">
        <v>9</v>
      </c>
      <c r="H43" s="8">
        <v>1.1200000000000001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97</v>
      </c>
      <c r="D47" s="8">
        <v>4.92</v>
      </c>
      <c r="E47" s="12">
        <v>89</v>
      </c>
      <c r="F47" s="8">
        <v>7.68</v>
      </c>
      <c r="G47" s="12">
        <v>8</v>
      </c>
      <c r="H47" s="8">
        <v>1</v>
      </c>
      <c r="I47" s="12">
        <v>0</v>
      </c>
    </row>
    <row r="48" spans="2:9" ht="15" customHeight="1" x14ac:dyDescent="0.2">
      <c r="B48" t="s">
        <v>163</v>
      </c>
      <c r="C48" s="12">
        <v>88</v>
      </c>
      <c r="D48" s="8">
        <v>4.47</v>
      </c>
      <c r="E48" s="12">
        <v>83</v>
      </c>
      <c r="F48" s="8">
        <v>7.16</v>
      </c>
      <c r="G48" s="12">
        <v>5</v>
      </c>
      <c r="H48" s="8">
        <v>0.62</v>
      </c>
      <c r="I48" s="12">
        <v>0</v>
      </c>
    </row>
    <row r="49" spans="2:9" ht="15" customHeight="1" x14ac:dyDescent="0.2">
      <c r="B49" t="s">
        <v>150</v>
      </c>
      <c r="C49" s="12">
        <v>65</v>
      </c>
      <c r="D49" s="8">
        <v>3.3</v>
      </c>
      <c r="E49" s="12">
        <v>37</v>
      </c>
      <c r="F49" s="8">
        <v>3.19</v>
      </c>
      <c r="G49" s="12">
        <v>28</v>
      </c>
      <c r="H49" s="8">
        <v>3.5</v>
      </c>
      <c r="I49" s="12">
        <v>0</v>
      </c>
    </row>
    <row r="50" spans="2:9" ht="15" customHeight="1" x14ac:dyDescent="0.2">
      <c r="B50" t="s">
        <v>152</v>
      </c>
      <c r="C50" s="12">
        <v>59</v>
      </c>
      <c r="D50" s="8">
        <v>2.99</v>
      </c>
      <c r="E50" s="12">
        <v>25</v>
      </c>
      <c r="F50" s="8">
        <v>2.16</v>
      </c>
      <c r="G50" s="12">
        <v>34</v>
      </c>
      <c r="H50" s="8">
        <v>4.24</v>
      </c>
      <c r="I50" s="12">
        <v>0</v>
      </c>
    </row>
    <row r="51" spans="2:9" ht="15" customHeight="1" x14ac:dyDescent="0.2">
      <c r="B51" t="s">
        <v>158</v>
      </c>
      <c r="C51" s="12">
        <v>59</v>
      </c>
      <c r="D51" s="8">
        <v>2.99</v>
      </c>
      <c r="E51" s="12">
        <v>32</v>
      </c>
      <c r="F51" s="8">
        <v>2.76</v>
      </c>
      <c r="G51" s="12">
        <v>27</v>
      </c>
      <c r="H51" s="8">
        <v>3.37</v>
      </c>
      <c r="I51" s="12">
        <v>0</v>
      </c>
    </row>
    <row r="52" spans="2:9" ht="15" customHeight="1" x14ac:dyDescent="0.2">
      <c r="B52" t="s">
        <v>167</v>
      </c>
      <c r="C52" s="12">
        <v>58</v>
      </c>
      <c r="D52" s="8">
        <v>2.94</v>
      </c>
      <c r="E52" s="12">
        <v>52</v>
      </c>
      <c r="F52" s="8">
        <v>4.49</v>
      </c>
      <c r="G52" s="12">
        <v>6</v>
      </c>
      <c r="H52" s="8">
        <v>0.75</v>
      </c>
      <c r="I52" s="12">
        <v>0</v>
      </c>
    </row>
    <row r="53" spans="2:9" ht="15" customHeight="1" x14ac:dyDescent="0.2">
      <c r="B53" t="s">
        <v>162</v>
      </c>
      <c r="C53" s="12">
        <v>55</v>
      </c>
      <c r="D53" s="8">
        <v>2.79</v>
      </c>
      <c r="E53" s="12">
        <v>55</v>
      </c>
      <c r="F53" s="8">
        <v>4.75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161</v>
      </c>
      <c r="C54" s="12">
        <v>52</v>
      </c>
      <c r="D54" s="8">
        <v>2.64</v>
      </c>
      <c r="E54" s="12">
        <v>43</v>
      </c>
      <c r="F54" s="8">
        <v>3.71</v>
      </c>
      <c r="G54" s="12">
        <v>9</v>
      </c>
      <c r="H54" s="8">
        <v>1.1200000000000001</v>
      </c>
      <c r="I54" s="12">
        <v>0</v>
      </c>
    </row>
    <row r="55" spans="2:9" ht="15" customHeight="1" x14ac:dyDescent="0.2">
      <c r="B55" t="s">
        <v>148</v>
      </c>
      <c r="C55" s="12">
        <v>48</v>
      </c>
      <c r="D55" s="8">
        <v>2.44</v>
      </c>
      <c r="E55" s="12">
        <v>10</v>
      </c>
      <c r="F55" s="8">
        <v>0.86</v>
      </c>
      <c r="G55" s="12">
        <v>38</v>
      </c>
      <c r="H55" s="8">
        <v>4.74</v>
      </c>
      <c r="I55" s="12">
        <v>0</v>
      </c>
    </row>
    <row r="56" spans="2:9" ht="15" customHeight="1" x14ac:dyDescent="0.2">
      <c r="B56" t="s">
        <v>154</v>
      </c>
      <c r="C56" s="12">
        <v>45</v>
      </c>
      <c r="D56" s="8">
        <v>2.2799999999999998</v>
      </c>
      <c r="E56" s="12">
        <v>36</v>
      </c>
      <c r="F56" s="8">
        <v>3.11</v>
      </c>
      <c r="G56" s="12">
        <v>9</v>
      </c>
      <c r="H56" s="8">
        <v>1.1200000000000001</v>
      </c>
      <c r="I56" s="12">
        <v>0</v>
      </c>
    </row>
    <row r="57" spans="2:9" ht="15" customHeight="1" x14ac:dyDescent="0.2">
      <c r="B57" t="s">
        <v>155</v>
      </c>
      <c r="C57" s="12">
        <v>43</v>
      </c>
      <c r="D57" s="8">
        <v>2.1800000000000002</v>
      </c>
      <c r="E57" s="12">
        <v>22</v>
      </c>
      <c r="F57" s="8">
        <v>1.9</v>
      </c>
      <c r="G57" s="12">
        <v>21</v>
      </c>
      <c r="H57" s="8">
        <v>2.62</v>
      </c>
      <c r="I57" s="12">
        <v>0</v>
      </c>
    </row>
    <row r="58" spans="2:9" ht="15" customHeight="1" x14ac:dyDescent="0.2">
      <c r="B58" t="s">
        <v>188</v>
      </c>
      <c r="C58" s="12">
        <v>41</v>
      </c>
      <c r="D58" s="8">
        <v>2.08</v>
      </c>
      <c r="E58" s="12">
        <v>18</v>
      </c>
      <c r="F58" s="8">
        <v>1.55</v>
      </c>
      <c r="G58" s="12">
        <v>23</v>
      </c>
      <c r="H58" s="8">
        <v>2.87</v>
      </c>
      <c r="I58" s="12">
        <v>0</v>
      </c>
    </row>
    <row r="59" spans="2:9" ht="15" customHeight="1" x14ac:dyDescent="0.2">
      <c r="B59" t="s">
        <v>156</v>
      </c>
      <c r="C59" s="12">
        <v>41</v>
      </c>
      <c r="D59" s="8">
        <v>2.08</v>
      </c>
      <c r="E59" s="12">
        <v>25</v>
      </c>
      <c r="F59" s="8">
        <v>2.16</v>
      </c>
      <c r="G59" s="12">
        <v>16</v>
      </c>
      <c r="H59" s="8">
        <v>2</v>
      </c>
      <c r="I59" s="12">
        <v>0</v>
      </c>
    </row>
    <row r="60" spans="2:9" ht="15" customHeight="1" x14ac:dyDescent="0.2">
      <c r="B60" t="s">
        <v>168</v>
      </c>
      <c r="C60" s="12">
        <v>35</v>
      </c>
      <c r="D60" s="8">
        <v>1.78</v>
      </c>
      <c r="E60" s="12">
        <v>20</v>
      </c>
      <c r="F60" s="8">
        <v>1.73</v>
      </c>
      <c r="G60" s="12">
        <v>15</v>
      </c>
      <c r="H60" s="8">
        <v>1.87</v>
      </c>
      <c r="I60" s="12">
        <v>0</v>
      </c>
    </row>
    <row r="61" spans="2:9" ht="15" customHeight="1" x14ac:dyDescent="0.2">
      <c r="B61" t="s">
        <v>166</v>
      </c>
      <c r="C61" s="12">
        <v>34</v>
      </c>
      <c r="D61" s="8">
        <v>1.73</v>
      </c>
      <c r="E61" s="12">
        <v>31</v>
      </c>
      <c r="F61" s="8">
        <v>2.67</v>
      </c>
      <c r="G61" s="12">
        <v>3</v>
      </c>
      <c r="H61" s="8">
        <v>0.37</v>
      </c>
      <c r="I61" s="12">
        <v>0</v>
      </c>
    </row>
    <row r="62" spans="2:9" ht="15" customHeight="1" x14ac:dyDescent="0.2">
      <c r="B62" t="s">
        <v>197</v>
      </c>
      <c r="C62" s="12">
        <v>30</v>
      </c>
      <c r="D62" s="8">
        <v>1.52</v>
      </c>
      <c r="E62" s="12">
        <v>23</v>
      </c>
      <c r="F62" s="8">
        <v>1.98</v>
      </c>
      <c r="G62" s="12">
        <v>7</v>
      </c>
      <c r="H62" s="8">
        <v>0.87</v>
      </c>
      <c r="I62" s="12">
        <v>0</v>
      </c>
    </row>
    <row r="63" spans="2:9" ht="15" customHeight="1" x14ac:dyDescent="0.2">
      <c r="B63" t="s">
        <v>191</v>
      </c>
      <c r="C63" s="12">
        <v>30</v>
      </c>
      <c r="D63" s="8">
        <v>1.52</v>
      </c>
      <c r="E63" s="12">
        <v>14</v>
      </c>
      <c r="F63" s="8">
        <v>1.21</v>
      </c>
      <c r="G63" s="12">
        <v>16</v>
      </c>
      <c r="H63" s="8">
        <v>2</v>
      </c>
      <c r="I63" s="12">
        <v>0</v>
      </c>
    </row>
    <row r="64" spans="2:9" ht="15" customHeight="1" x14ac:dyDescent="0.2">
      <c r="B64" t="s">
        <v>149</v>
      </c>
      <c r="C64" s="12">
        <v>29</v>
      </c>
      <c r="D64" s="8">
        <v>1.47</v>
      </c>
      <c r="E64" s="12">
        <v>10</v>
      </c>
      <c r="F64" s="8">
        <v>0.86</v>
      </c>
      <c r="G64" s="12">
        <v>19</v>
      </c>
      <c r="H64" s="8">
        <v>2.37</v>
      </c>
      <c r="I64" s="12">
        <v>0</v>
      </c>
    </row>
    <row r="65" spans="2:9" ht="15" customHeight="1" x14ac:dyDescent="0.2">
      <c r="B65" t="s">
        <v>198</v>
      </c>
      <c r="C65" s="12">
        <v>27</v>
      </c>
      <c r="D65" s="8">
        <v>1.37</v>
      </c>
      <c r="E65" s="12">
        <v>24</v>
      </c>
      <c r="F65" s="8">
        <v>2.0699999999999998</v>
      </c>
      <c r="G65" s="12">
        <v>3</v>
      </c>
      <c r="H65" s="8">
        <v>0.37</v>
      </c>
      <c r="I65" s="12">
        <v>0</v>
      </c>
    </row>
    <row r="66" spans="2:9" ht="15" customHeight="1" x14ac:dyDescent="0.2">
      <c r="B66" t="s">
        <v>192</v>
      </c>
      <c r="C66" s="12">
        <v>27</v>
      </c>
      <c r="D66" s="8">
        <v>1.37</v>
      </c>
      <c r="E66" s="12">
        <v>24</v>
      </c>
      <c r="F66" s="8">
        <v>2.0699999999999998</v>
      </c>
      <c r="G66" s="12">
        <v>3</v>
      </c>
      <c r="H66" s="8">
        <v>0.37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6F212-4B83-4D7A-933E-77B9E47AD396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292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1</v>
      </c>
      <c r="D5" s="8">
        <v>0.11</v>
      </c>
      <c r="E5" s="12">
        <v>0</v>
      </c>
      <c r="F5" s="8">
        <v>0</v>
      </c>
      <c r="G5" s="12">
        <v>1</v>
      </c>
      <c r="H5" s="8">
        <v>0.21</v>
      </c>
      <c r="I5" s="12">
        <v>0</v>
      </c>
    </row>
    <row r="6" spans="2:9" ht="15" customHeight="1" x14ac:dyDescent="0.2">
      <c r="B6" t="s">
        <v>62</v>
      </c>
      <c r="C6" s="12">
        <v>193</v>
      </c>
      <c r="D6" s="8">
        <v>20.36</v>
      </c>
      <c r="E6" s="12">
        <v>67</v>
      </c>
      <c r="F6" s="8">
        <v>14.44</v>
      </c>
      <c r="G6" s="12">
        <v>126</v>
      </c>
      <c r="H6" s="8">
        <v>26.42</v>
      </c>
      <c r="I6" s="12">
        <v>0</v>
      </c>
    </row>
    <row r="7" spans="2:9" ht="15" customHeight="1" x14ac:dyDescent="0.2">
      <c r="B7" t="s">
        <v>63</v>
      </c>
      <c r="C7" s="12">
        <v>116</v>
      </c>
      <c r="D7" s="8">
        <v>12.24</v>
      </c>
      <c r="E7" s="12">
        <v>34</v>
      </c>
      <c r="F7" s="8">
        <v>7.33</v>
      </c>
      <c r="G7" s="12">
        <v>82</v>
      </c>
      <c r="H7" s="8">
        <v>17.190000000000001</v>
      </c>
      <c r="I7" s="12">
        <v>0</v>
      </c>
    </row>
    <row r="8" spans="2:9" ht="15" customHeight="1" x14ac:dyDescent="0.2">
      <c r="B8" t="s">
        <v>64</v>
      </c>
      <c r="C8" s="12">
        <v>9</v>
      </c>
      <c r="D8" s="8">
        <v>0.95</v>
      </c>
      <c r="E8" s="12">
        <v>0</v>
      </c>
      <c r="F8" s="8">
        <v>0</v>
      </c>
      <c r="G8" s="12">
        <v>9</v>
      </c>
      <c r="H8" s="8">
        <v>1.89</v>
      </c>
      <c r="I8" s="12">
        <v>0</v>
      </c>
    </row>
    <row r="9" spans="2:9" ht="15" customHeight="1" x14ac:dyDescent="0.2">
      <c r="B9" t="s">
        <v>65</v>
      </c>
      <c r="C9" s="12">
        <v>3</v>
      </c>
      <c r="D9" s="8">
        <v>0.32</v>
      </c>
      <c r="E9" s="12">
        <v>1</v>
      </c>
      <c r="F9" s="8">
        <v>0.22</v>
      </c>
      <c r="G9" s="12">
        <v>2</v>
      </c>
      <c r="H9" s="8">
        <v>0.42</v>
      </c>
      <c r="I9" s="12">
        <v>0</v>
      </c>
    </row>
    <row r="10" spans="2:9" ht="15" customHeight="1" x14ac:dyDescent="0.2">
      <c r="B10" t="s">
        <v>66</v>
      </c>
      <c r="C10" s="12">
        <v>14</v>
      </c>
      <c r="D10" s="8">
        <v>1.48</v>
      </c>
      <c r="E10" s="12">
        <v>1</v>
      </c>
      <c r="F10" s="8">
        <v>0.22</v>
      </c>
      <c r="G10" s="12">
        <v>13</v>
      </c>
      <c r="H10" s="8">
        <v>2.73</v>
      </c>
      <c r="I10" s="12">
        <v>0</v>
      </c>
    </row>
    <row r="11" spans="2:9" ht="15" customHeight="1" x14ac:dyDescent="0.2">
      <c r="B11" t="s">
        <v>67</v>
      </c>
      <c r="C11" s="12">
        <v>200</v>
      </c>
      <c r="D11" s="8">
        <v>21.1</v>
      </c>
      <c r="E11" s="12">
        <v>89</v>
      </c>
      <c r="F11" s="8">
        <v>19.18</v>
      </c>
      <c r="G11" s="12">
        <v>111</v>
      </c>
      <c r="H11" s="8">
        <v>23.27</v>
      </c>
      <c r="I11" s="12">
        <v>0</v>
      </c>
    </row>
    <row r="12" spans="2:9" ht="15" customHeight="1" x14ac:dyDescent="0.2">
      <c r="B12" t="s">
        <v>68</v>
      </c>
      <c r="C12" s="12">
        <v>6</v>
      </c>
      <c r="D12" s="8">
        <v>0.63</v>
      </c>
      <c r="E12" s="12">
        <v>1</v>
      </c>
      <c r="F12" s="8">
        <v>0.22</v>
      </c>
      <c r="G12" s="12">
        <v>5</v>
      </c>
      <c r="H12" s="8">
        <v>1.05</v>
      </c>
      <c r="I12" s="12">
        <v>0</v>
      </c>
    </row>
    <row r="13" spans="2:9" ht="15" customHeight="1" x14ac:dyDescent="0.2">
      <c r="B13" t="s">
        <v>69</v>
      </c>
      <c r="C13" s="12">
        <v>51</v>
      </c>
      <c r="D13" s="8">
        <v>5.38</v>
      </c>
      <c r="E13" s="12">
        <v>16</v>
      </c>
      <c r="F13" s="8">
        <v>3.45</v>
      </c>
      <c r="G13" s="12">
        <v>35</v>
      </c>
      <c r="H13" s="8">
        <v>7.34</v>
      </c>
      <c r="I13" s="12">
        <v>0</v>
      </c>
    </row>
    <row r="14" spans="2:9" ht="15" customHeight="1" x14ac:dyDescent="0.2">
      <c r="B14" t="s">
        <v>70</v>
      </c>
      <c r="C14" s="12">
        <v>37</v>
      </c>
      <c r="D14" s="8">
        <v>3.9</v>
      </c>
      <c r="E14" s="12">
        <v>18</v>
      </c>
      <c r="F14" s="8">
        <v>3.88</v>
      </c>
      <c r="G14" s="12">
        <v>18</v>
      </c>
      <c r="H14" s="8">
        <v>3.77</v>
      </c>
      <c r="I14" s="12">
        <v>1</v>
      </c>
    </row>
    <row r="15" spans="2:9" ht="15" customHeight="1" x14ac:dyDescent="0.2">
      <c r="B15" t="s">
        <v>71</v>
      </c>
      <c r="C15" s="12">
        <v>100</v>
      </c>
      <c r="D15" s="8">
        <v>10.55</v>
      </c>
      <c r="E15" s="12">
        <v>84</v>
      </c>
      <c r="F15" s="8">
        <v>18.100000000000001</v>
      </c>
      <c r="G15" s="12">
        <v>15</v>
      </c>
      <c r="H15" s="8">
        <v>3.14</v>
      </c>
      <c r="I15" s="12">
        <v>0</v>
      </c>
    </row>
    <row r="16" spans="2:9" ht="15" customHeight="1" x14ac:dyDescent="0.2">
      <c r="B16" t="s">
        <v>72</v>
      </c>
      <c r="C16" s="12">
        <v>114</v>
      </c>
      <c r="D16" s="8">
        <v>12.03</v>
      </c>
      <c r="E16" s="12">
        <v>97</v>
      </c>
      <c r="F16" s="8">
        <v>20.91</v>
      </c>
      <c r="G16" s="12">
        <v>16</v>
      </c>
      <c r="H16" s="8">
        <v>3.35</v>
      </c>
      <c r="I16" s="12">
        <v>0</v>
      </c>
    </row>
    <row r="17" spans="2:9" ht="15" customHeight="1" x14ac:dyDescent="0.2">
      <c r="B17" t="s">
        <v>73</v>
      </c>
      <c r="C17" s="12">
        <v>11</v>
      </c>
      <c r="D17" s="8">
        <v>1.1599999999999999</v>
      </c>
      <c r="E17" s="12">
        <v>5</v>
      </c>
      <c r="F17" s="8">
        <v>1.08</v>
      </c>
      <c r="G17" s="12">
        <v>6</v>
      </c>
      <c r="H17" s="8">
        <v>1.26</v>
      </c>
      <c r="I17" s="12">
        <v>0</v>
      </c>
    </row>
    <row r="18" spans="2:9" ht="15" customHeight="1" x14ac:dyDescent="0.2">
      <c r="B18" t="s">
        <v>74</v>
      </c>
      <c r="C18" s="12">
        <v>42</v>
      </c>
      <c r="D18" s="8">
        <v>4.43</v>
      </c>
      <c r="E18" s="12">
        <v>25</v>
      </c>
      <c r="F18" s="8">
        <v>5.39</v>
      </c>
      <c r="G18" s="12">
        <v>14</v>
      </c>
      <c r="H18" s="8">
        <v>2.94</v>
      </c>
      <c r="I18" s="12">
        <v>0</v>
      </c>
    </row>
    <row r="19" spans="2:9" ht="15" customHeight="1" x14ac:dyDescent="0.2">
      <c r="B19" t="s">
        <v>75</v>
      </c>
      <c r="C19" s="12">
        <v>51</v>
      </c>
      <c r="D19" s="8">
        <v>5.38</v>
      </c>
      <c r="E19" s="12">
        <v>26</v>
      </c>
      <c r="F19" s="8">
        <v>5.6</v>
      </c>
      <c r="G19" s="12">
        <v>24</v>
      </c>
      <c r="H19" s="8">
        <v>5.03</v>
      </c>
      <c r="I19" s="12">
        <v>0</v>
      </c>
    </row>
    <row r="20" spans="2:9" ht="15" customHeight="1" x14ac:dyDescent="0.2">
      <c r="B20" s="9" t="s">
        <v>248</v>
      </c>
      <c r="C20" s="12">
        <f>SUM(LTBL_12237[総数／事業所数])</f>
        <v>948</v>
      </c>
      <c r="E20" s="12">
        <f>SUBTOTAL(109,LTBL_12237[個人／事業所数])</f>
        <v>464</v>
      </c>
      <c r="G20" s="12">
        <f>SUBTOTAL(109,LTBL_12237[法人／事業所数])</f>
        <v>477</v>
      </c>
      <c r="I20" s="12">
        <f>SUBTOTAL(109,LTBL_12237[法人以外の団体／事業所数])</f>
        <v>1</v>
      </c>
    </row>
    <row r="21" spans="2:9" ht="15" customHeight="1" x14ac:dyDescent="0.2">
      <c r="E21" s="11">
        <f>LTBL_12237[[#Totals],[個人／事業所数]]/LTBL_12237[[#Totals],[総数／事業所数]]</f>
        <v>0.48945147679324896</v>
      </c>
      <c r="G21" s="11">
        <f>LTBL_12237[[#Totals],[法人／事業所数]]/LTBL_12237[[#Totals],[総数／事業所数]]</f>
        <v>0.50316455696202533</v>
      </c>
      <c r="I21" s="11">
        <f>LTBL_12237[[#Totals],[法人以外の団体／事業所数]]/LTBL_12237[[#Totals],[総数／事業所数]]</f>
        <v>1.0548523206751054E-3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101</v>
      </c>
      <c r="D24" s="8">
        <v>10.65</v>
      </c>
      <c r="E24" s="12">
        <v>91</v>
      </c>
      <c r="F24" s="8">
        <v>19.61</v>
      </c>
      <c r="G24" s="12">
        <v>10</v>
      </c>
      <c r="H24" s="8">
        <v>2.1</v>
      </c>
      <c r="I24" s="12">
        <v>0</v>
      </c>
    </row>
    <row r="25" spans="2:9" ht="15" customHeight="1" x14ac:dyDescent="0.2">
      <c r="B25" t="s">
        <v>84</v>
      </c>
      <c r="C25" s="12">
        <v>96</v>
      </c>
      <c r="D25" s="8">
        <v>10.130000000000001</v>
      </c>
      <c r="E25" s="12">
        <v>29</v>
      </c>
      <c r="F25" s="8">
        <v>6.25</v>
      </c>
      <c r="G25" s="12">
        <v>67</v>
      </c>
      <c r="H25" s="8">
        <v>14.05</v>
      </c>
      <c r="I25" s="12">
        <v>0</v>
      </c>
    </row>
    <row r="26" spans="2:9" ht="15" customHeight="1" x14ac:dyDescent="0.2">
      <c r="B26" t="s">
        <v>97</v>
      </c>
      <c r="C26" s="12">
        <v>88</v>
      </c>
      <c r="D26" s="8">
        <v>9.2799999999999994</v>
      </c>
      <c r="E26" s="12">
        <v>80</v>
      </c>
      <c r="F26" s="8">
        <v>17.239999999999998</v>
      </c>
      <c r="G26" s="12">
        <v>8</v>
      </c>
      <c r="H26" s="8">
        <v>1.68</v>
      </c>
      <c r="I26" s="12">
        <v>0</v>
      </c>
    </row>
    <row r="27" spans="2:9" ht="15" customHeight="1" x14ac:dyDescent="0.2">
      <c r="B27" t="s">
        <v>92</v>
      </c>
      <c r="C27" s="12">
        <v>69</v>
      </c>
      <c r="D27" s="8">
        <v>7.28</v>
      </c>
      <c r="E27" s="12">
        <v>29</v>
      </c>
      <c r="F27" s="8">
        <v>6.25</v>
      </c>
      <c r="G27" s="12">
        <v>40</v>
      </c>
      <c r="H27" s="8">
        <v>8.39</v>
      </c>
      <c r="I27" s="12">
        <v>0</v>
      </c>
    </row>
    <row r="28" spans="2:9" ht="15" customHeight="1" x14ac:dyDescent="0.2">
      <c r="B28" t="s">
        <v>85</v>
      </c>
      <c r="C28" s="12">
        <v>56</v>
      </c>
      <c r="D28" s="8">
        <v>5.91</v>
      </c>
      <c r="E28" s="12">
        <v>24</v>
      </c>
      <c r="F28" s="8">
        <v>5.17</v>
      </c>
      <c r="G28" s="12">
        <v>32</v>
      </c>
      <c r="H28" s="8">
        <v>6.71</v>
      </c>
      <c r="I28" s="12">
        <v>0</v>
      </c>
    </row>
    <row r="29" spans="2:9" ht="15" customHeight="1" x14ac:dyDescent="0.2">
      <c r="B29" t="s">
        <v>86</v>
      </c>
      <c r="C29" s="12">
        <v>41</v>
      </c>
      <c r="D29" s="8">
        <v>4.32</v>
      </c>
      <c r="E29" s="12">
        <v>14</v>
      </c>
      <c r="F29" s="8">
        <v>3.02</v>
      </c>
      <c r="G29" s="12">
        <v>27</v>
      </c>
      <c r="H29" s="8">
        <v>5.66</v>
      </c>
      <c r="I29" s="12">
        <v>0</v>
      </c>
    </row>
    <row r="30" spans="2:9" ht="15" customHeight="1" x14ac:dyDescent="0.2">
      <c r="B30" t="s">
        <v>90</v>
      </c>
      <c r="C30" s="12">
        <v>35</v>
      </c>
      <c r="D30" s="8">
        <v>3.69</v>
      </c>
      <c r="E30" s="12">
        <v>25</v>
      </c>
      <c r="F30" s="8">
        <v>5.39</v>
      </c>
      <c r="G30" s="12">
        <v>10</v>
      </c>
      <c r="H30" s="8">
        <v>2.1</v>
      </c>
      <c r="I30" s="12">
        <v>0</v>
      </c>
    </row>
    <row r="31" spans="2:9" ht="15" customHeight="1" x14ac:dyDescent="0.2">
      <c r="B31" t="s">
        <v>94</v>
      </c>
      <c r="C31" s="12">
        <v>35</v>
      </c>
      <c r="D31" s="8">
        <v>3.69</v>
      </c>
      <c r="E31" s="12">
        <v>15</v>
      </c>
      <c r="F31" s="8">
        <v>3.23</v>
      </c>
      <c r="G31" s="12">
        <v>20</v>
      </c>
      <c r="H31" s="8">
        <v>4.1900000000000004</v>
      </c>
      <c r="I31" s="12">
        <v>0</v>
      </c>
    </row>
    <row r="32" spans="2:9" ht="15" customHeight="1" x14ac:dyDescent="0.2">
      <c r="B32" t="s">
        <v>103</v>
      </c>
      <c r="C32" s="12">
        <v>32</v>
      </c>
      <c r="D32" s="8">
        <v>3.38</v>
      </c>
      <c r="E32" s="12">
        <v>25</v>
      </c>
      <c r="F32" s="8">
        <v>5.39</v>
      </c>
      <c r="G32" s="12">
        <v>7</v>
      </c>
      <c r="H32" s="8">
        <v>1.47</v>
      </c>
      <c r="I32" s="12">
        <v>0</v>
      </c>
    </row>
    <row r="33" spans="2:9" ht="15" customHeight="1" x14ac:dyDescent="0.2">
      <c r="B33" t="s">
        <v>101</v>
      </c>
      <c r="C33" s="12">
        <v>29</v>
      </c>
      <c r="D33" s="8">
        <v>3.06</v>
      </c>
      <c r="E33" s="12">
        <v>25</v>
      </c>
      <c r="F33" s="8">
        <v>5.39</v>
      </c>
      <c r="G33" s="12">
        <v>4</v>
      </c>
      <c r="H33" s="8">
        <v>0.84</v>
      </c>
      <c r="I33" s="12">
        <v>0</v>
      </c>
    </row>
    <row r="34" spans="2:9" ht="15" customHeight="1" x14ac:dyDescent="0.2">
      <c r="B34" t="s">
        <v>91</v>
      </c>
      <c r="C34" s="12">
        <v>28</v>
      </c>
      <c r="D34" s="8">
        <v>2.95</v>
      </c>
      <c r="E34" s="12">
        <v>17</v>
      </c>
      <c r="F34" s="8">
        <v>3.66</v>
      </c>
      <c r="G34" s="12">
        <v>11</v>
      </c>
      <c r="H34" s="8">
        <v>2.31</v>
      </c>
      <c r="I34" s="12">
        <v>0</v>
      </c>
    </row>
    <row r="35" spans="2:9" ht="15" customHeight="1" x14ac:dyDescent="0.2">
      <c r="B35" t="s">
        <v>106</v>
      </c>
      <c r="C35" s="12">
        <v>21</v>
      </c>
      <c r="D35" s="8">
        <v>2.2200000000000002</v>
      </c>
      <c r="E35" s="12">
        <v>5</v>
      </c>
      <c r="F35" s="8">
        <v>1.08</v>
      </c>
      <c r="G35" s="12">
        <v>16</v>
      </c>
      <c r="H35" s="8">
        <v>3.35</v>
      </c>
      <c r="I35" s="12">
        <v>0</v>
      </c>
    </row>
    <row r="36" spans="2:9" ht="15" customHeight="1" x14ac:dyDescent="0.2">
      <c r="B36" t="s">
        <v>95</v>
      </c>
      <c r="C36" s="12">
        <v>20</v>
      </c>
      <c r="D36" s="8">
        <v>2.11</v>
      </c>
      <c r="E36" s="12">
        <v>13</v>
      </c>
      <c r="F36" s="8">
        <v>2.8</v>
      </c>
      <c r="G36" s="12">
        <v>7</v>
      </c>
      <c r="H36" s="8">
        <v>1.47</v>
      </c>
      <c r="I36" s="12">
        <v>0</v>
      </c>
    </row>
    <row r="37" spans="2:9" ht="15" customHeight="1" x14ac:dyDescent="0.2">
      <c r="B37" t="s">
        <v>87</v>
      </c>
      <c r="C37" s="12">
        <v>16</v>
      </c>
      <c r="D37" s="8">
        <v>1.69</v>
      </c>
      <c r="E37" s="12">
        <v>6</v>
      </c>
      <c r="F37" s="8">
        <v>1.29</v>
      </c>
      <c r="G37" s="12">
        <v>10</v>
      </c>
      <c r="H37" s="8">
        <v>2.1</v>
      </c>
      <c r="I37" s="12">
        <v>0</v>
      </c>
    </row>
    <row r="38" spans="2:9" ht="15" customHeight="1" x14ac:dyDescent="0.2">
      <c r="B38" t="s">
        <v>116</v>
      </c>
      <c r="C38" s="12">
        <v>14</v>
      </c>
      <c r="D38" s="8">
        <v>1.48</v>
      </c>
      <c r="E38" s="12">
        <v>6</v>
      </c>
      <c r="F38" s="8">
        <v>1.29</v>
      </c>
      <c r="G38" s="12">
        <v>8</v>
      </c>
      <c r="H38" s="8">
        <v>1.68</v>
      </c>
      <c r="I38" s="12">
        <v>0</v>
      </c>
    </row>
    <row r="39" spans="2:9" ht="15" customHeight="1" x14ac:dyDescent="0.2">
      <c r="B39" t="s">
        <v>96</v>
      </c>
      <c r="C39" s="12">
        <v>14</v>
      </c>
      <c r="D39" s="8">
        <v>1.48</v>
      </c>
      <c r="E39" s="12">
        <v>5</v>
      </c>
      <c r="F39" s="8">
        <v>1.08</v>
      </c>
      <c r="G39" s="12">
        <v>8</v>
      </c>
      <c r="H39" s="8">
        <v>1.68</v>
      </c>
      <c r="I39" s="12">
        <v>1</v>
      </c>
    </row>
    <row r="40" spans="2:9" ht="15" customHeight="1" x14ac:dyDescent="0.2">
      <c r="B40" t="s">
        <v>89</v>
      </c>
      <c r="C40" s="12">
        <v>13</v>
      </c>
      <c r="D40" s="8">
        <v>1.37</v>
      </c>
      <c r="E40" s="12">
        <v>7</v>
      </c>
      <c r="F40" s="8">
        <v>1.51</v>
      </c>
      <c r="G40" s="12">
        <v>6</v>
      </c>
      <c r="H40" s="8">
        <v>1.26</v>
      </c>
      <c r="I40" s="12">
        <v>0</v>
      </c>
    </row>
    <row r="41" spans="2:9" ht="15" customHeight="1" x14ac:dyDescent="0.2">
      <c r="B41" t="s">
        <v>102</v>
      </c>
      <c r="C41" s="12">
        <v>13</v>
      </c>
      <c r="D41" s="8">
        <v>1.37</v>
      </c>
      <c r="E41" s="12">
        <v>0</v>
      </c>
      <c r="F41" s="8">
        <v>0</v>
      </c>
      <c r="G41" s="12">
        <v>10</v>
      </c>
      <c r="H41" s="8">
        <v>2.1</v>
      </c>
      <c r="I41" s="12">
        <v>0</v>
      </c>
    </row>
    <row r="42" spans="2:9" ht="15" customHeight="1" x14ac:dyDescent="0.2">
      <c r="B42" t="s">
        <v>104</v>
      </c>
      <c r="C42" s="12">
        <v>12</v>
      </c>
      <c r="D42" s="8">
        <v>1.27</v>
      </c>
      <c r="E42" s="12">
        <v>1</v>
      </c>
      <c r="F42" s="8">
        <v>0.22</v>
      </c>
      <c r="G42" s="12">
        <v>11</v>
      </c>
      <c r="H42" s="8">
        <v>2.31</v>
      </c>
      <c r="I42" s="12">
        <v>0</v>
      </c>
    </row>
    <row r="43" spans="2:9" ht="15" customHeight="1" x14ac:dyDescent="0.2">
      <c r="B43" t="s">
        <v>105</v>
      </c>
      <c r="C43" s="12">
        <v>12</v>
      </c>
      <c r="D43" s="8">
        <v>1.27</v>
      </c>
      <c r="E43" s="12">
        <v>0</v>
      </c>
      <c r="F43" s="8">
        <v>0</v>
      </c>
      <c r="G43" s="12">
        <v>12</v>
      </c>
      <c r="H43" s="8">
        <v>2.52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163</v>
      </c>
      <c r="C47" s="12">
        <v>45</v>
      </c>
      <c r="D47" s="8">
        <v>4.75</v>
      </c>
      <c r="E47" s="12">
        <v>43</v>
      </c>
      <c r="F47" s="8">
        <v>9.27</v>
      </c>
      <c r="G47" s="12">
        <v>2</v>
      </c>
      <c r="H47" s="8">
        <v>0.42</v>
      </c>
      <c r="I47" s="12">
        <v>0</v>
      </c>
    </row>
    <row r="48" spans="2:9" ht="15" customHeight="1" x14ac:dyDescent="0.2">
      <c r="B48" t="s">
        <v>164</v>
      </c>
      <c r="C48" s="12">
        <v>40</v>
      </c>
      <c r="D48" s="8">
        <v>4.22</v>
      </c>
      <c r="E48" s="12">
        <v>37</v>
      </c>
      <c r="F48" s="8">
        <v>7.97</v>
      </c>
      <c r="G48" s="12">
        <v>3</v>
      </c>
      <c r="H48" s="8">
        <v>0.63</v>
      </c>
      <c r="I48" s="12">
        <v>0</v>
      </c>
    </row>
    <row r="49" spans="2:9" ht="15" customHeight="1" x14ac:dyDescent="0.2">
      <c r="B49" t="s">
        <v>148</v>
      </c>
      <c r="C49" s="12">
        <v>38</v>
      </c>
      <c r="D49" s="8">
        <v>4.01</v>
      </c>
      <c r="E49" s="12">
        <v>3</v>
      </c>
      <c r="F49" s="8">
        <v>0.65</v>
      </c>
      <c r="G49" s="12">
        <v>35</v>
      </c>
      <c r="H49" s="8">
        <v>7.34</v>
      </c>
      <c r="I49" s="12">
        <v>0</v>
      </c>
    </row>
    <row r="50" spans="2:9" ht="15" customHeight="1" x14ac:dyDescent="0.2">
      <c r="B50" t="s">
        <v>161</v>
      </c>
      <c r="C50" s="12">
        <v>32</v>
      </c>
      <c r="D50" s="8">
        <v>3.38</v>
      </c>
      <c r="E50" s="12">
        <v>27</v>
      </c>
      <c r="F50" s="8">
        <v>5.82</v>
      </c>
      <c r="G50" s="12">
        <v>5</v>
      </c>
      <c r="H50" s="8">
        <v>1.05</v>
      </c>
      <c r="I50" s="12">
        <v>0</v>
      </c>
    </row>
    <row r="51" spans="2:9" ht="15" customHeight="1" x14ac:dyDescent="0.2">
      <c r="B51" t="s">
        <v>167</v>
      </c>
      <c r="C51" s="12">
        <v>32</v>
      </c>
      <c r="D51" s="8">
        <v>3.38</v>
      </c>
      <c r="E51" s="12">
        <v>25</v>
      </c>
      <c r="F51" s="8">
        <v>5.39</v>
      </c>
      <c r="G51" s="12">
        <v>7</v>
      </c>
      <c r="H51" s="8">
        <v>1.47</v>
      </c>
      <c r="I51" s="12">
        <v>0</v>
      </c>
    </row>
    <row r="52" spans="2:9" ht="15" customHeight="1" x14ac:dyDescent="0.2">
      <c r="B52" t="s">
        <v>150</v>
      </c>
      <c r="C52" s="12">
        <v>26</v>
      </c>
      <c r="D52" s="8">
        <v>2.74</v>
      </c>
      <c r="E52" s="12">
        <v>16</v>
      </c>
      <c r="F52" s="8">
        <v>3.45</v>
      </c>
      <c r="G52" s="12">
        <v>10</v>
      </c>
      <c r="H52" s="8">
        <v>2.1</v>
      </c>
      <c r="I52" s="12">
        <v>0</v>
      </c>
    </row>
    <row r="53" spans="2:9" ht="15" customHeight="1" x14ac:dyDescent="0.2">
      <c r="B53" t="s">
        <v>162</v>
      </c>
      <c r="C53" s="12">
        <v>25</v>
      </c>
      <c r="D53" s="8">
        <v>2.64</v>
      </c>
      <c r="E53" s="12">
        <v>25</v>
      </c>
      <c r="F53" s="8">
        <v>5.39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152</v>
      </c>
      <c r="C54" s="12">
        <v>22</v>
      </c>
      <c r="D54" s="8">
        <v>2.3199999999999998</v>
      </c>
      <c r="E54" s="12">
        <v>10</v>
      </c>
      <c r="F54" s="8">
        <v>2.16</v>
      </c>
      <c r="G54" s="12">
        <v>12</v>
      </c>
      <c r="H54" s="8">
        <v>2.52</v>
      </c>
      <c r="I54" s="12">
        <v>0</v>
      </c>
    </row>
    <row r="55" spans="2:9" ht="15" customHeight="1" x14ac:dyDescent="0.2">
      <c r="B55" t="s">
        <v>149</v>
      </c>
      <c r="C55" s="12">
        <v>21</v>
      </c>
      <c r="D55" s="8">
        <v>2.2200000000000002</v>
      </c>
      <c r="E55" s="12">
        <v>4</v>
      </c>
      <c r="F55" s="8">
        <v>0.86</v>
      </c>
      <c r="G55" s="12">
        <v>17</v>
      </c>
      <c r="H55" s="8">
        <v>3.56</v>
      </c>
      <c r="I55" s="12">
        <v>0</v>
      </c>
    </row>
    <row r="56" spans="2:9" ht="15" customHeight="1" x14ac:dyDescent="0.2">
      <c r="B56" t="s">
        <v>158</v>
      </c>
      <c r="C56" s="12">
        <v>20</v>
      </c>
      <c r="D56" s="8">
        <v>2.11</v>
      </c>
      <c r="E56" s="12">
        <v>11</v>
      </c>
      <c r="F56" s="8">
        <v>2.37</v>
      </c>
      <c r="G56" s="12">
        <v>9</v>
      </c>
      <c r="H56" s="8">
        <v>1.89</v>
      </c>
      <c r="I56" s="12">
        <v>0</v>
      </c>
    </row>
    <row r="57" spans="2:9" ht="15" customHeight="1" x14ac:dyDescent="0.2">
      <c r="B57" t="s">
        <v>155</v>
      </c>
      <c r="C57" s="12">
        <v>19</v>
      </c>
      <c r="D57" s="8">
        <v>2</v>
      </c>
      <c r="E57" s="12">
        <v>13</v>
      </c>
      <c r="F57" s="8">
        <v>2.8</v>
      </c>
      <c r="G57" s="12">
        <v>6</v>
      </c>
      <c r="H57" s="8">
        <v>1.26</v>
      </c>
      <c r="I57" s="12">
        <v>0</v>
      </c>
    </row>
    <row r="58" spans="2:9" ht="15" customHeight="1" x14ac:dyDescent="0.2">
      <c r="B58" t="s">
        <v>166</v>
      </c>
      <c r="C58" s="12">
        <v>16</v>
      </c>
      <c r="D58" s="8">
        <v>1.69</v>
      </c>
      <c r="E58" s="12">
        <v>14</v>
      </c>
      <c r="F58" s="8">
        <v>3.02</v>
      </c>
      <c r="G58" s="12">
        <v>2</v>
      </c>
      <c r="H58" s="8">
        <v>0.42</v>
      </c>
      <c r="I58" s="12">
        <v>0</v>
      </c>
    </row>
    <row r="59" spans="2:9" ht="15" customHeight="1" x14ac:dyDescent="0.2">
      <c r="B59" t="s">
        <v>154</v>
      </c>
      <c r="C59" s="12">
        <v>15</v>
      </c>
      <c r="D59" s="8">
        <v>1.58</v>
      </c>
      <c r="E59" s="12">
        <v>11</v>
      </c>
      <c r="F59" s="8">
        <v>2.37</v>
      </c>
      <c r="G59" s="12">
        <v>4</v>
      </c>
      <c r="H59" s="8">
        <v>0.84</v>
      </c>
      <c r="I59" s="12">
        <v>0</v>
      </c>
    </row>
    <row r="60" spans="2:9" ht="15" customHeight="1" x14ac:dyDescent="0.2">
      <c r="B60" t="s">
        <v>191</v>
      </c>
      <c r="C60" s="12">
        <v>15</v>
      </c>
      <c r="D60" s="8">
        <v>1.58</v>
      </c>
      <c r="E60" s="12">
        <v>4</v>
      </c>
      <c r="F60" s="8">
        <v>0.86</v>
      </c>
      <c r="G60" s="12">
        <v>11</v>
      </c>
      <c r="H60" s="8">
        <v>2.31</v>
      </c>
      <c r="I60" s="12">
        <v>0</v>
      </c>
    </row>
    <row r="61" spans="2:9" ht="15" customHeight="1" x14ac:dyDescent="0.2">
      <c r="B61" t="s">
        <v>153</v>
      </c>
      <c r="C61" s="12">
        <v>14</v>
      </c>
      <c r="D61" s="8">
        <v>1.48</v>
      </c>
      <c r="E61" s="12">
        <v>3</v>
      </c>
      <c r="F61" s="8">
        <v>0.65</v>
      </c>
      <c r="G61" s="12">
        <v>11</v>
      </c>
      <c r="H61" s="8">
        <v>2.31</v>
      </c>
      <c r="I61" s="12">
        <v>0</v>
      </c>
    </row>
    <row r="62" spans="2:9" ht="15" customHeight="1" x14ac:dyDescent="0.2">
      <c r="B62" t="s">
        <v>156</v>
      </c>
      <c r="C62" s="12">
        <v>13</v>
      </c>
      <c r="D62" s="8">
        <v>1.37</v>
      </c>
      <c r="E62" s="12">
        <v>4</v>
      </c>
      <c r="F62" s="8">
        <v>0.86</v>
      </c>
      <c r="G62" s="12">
        <v>9</v>
      </c>
      <c r="H62" s="8">
        <v>1.89</v>
      </c>
      <c r="I62" s="12">
        <v>0</v>
      </c>
    </row>
    <row r="63" spans="2:9" ht="15" customHeight="1" x14ac:dyDescent="0.2">
      <c r="B63" t="s">
        <v>170</v>
      </c>
      <c r="C63" s="12">
        <v>13</v>
      </c>
      <c r="D63" s="8">
        <v>1.37</v>
      </c>
      <c r="E63" s="12">
        <v>11</v>
      </c>
      <c r="F63" s="8">
        <v>2.37</v>
      </c>
      <c r="G63" s="12">
        <v>2</v>
      </c>
      <c r="H63" s="8">
        <v>0.42</v>
      </c>
      <c r="I63" s="12">
        <v>0</v>
      </c>
    </row>
    <row r="64" spans="2:9" ht="15" customHeight="1" x14ac:dyDescent="0.2">
      <c r="B64" t="s">
        <v>203</v>
      </c>
      <c r="C64" s="12">
        <v>12</v>
      </c>
      <c r="D64" s="8">
        <v>1.27</v>
      </c>
      <c r="E64" s="12">
        <v>3</v>
      </c>
      <c r="F64" s="8">
        <v>0.65</v>
      </c>
      <c r="G64" s="12">
        <v>9</v>
      </c>
      <c r="H64" s="8">
        <v>1.89</v>
      </c>
      <c r="I64" s="12">
        <v>0</v>
      </c>
    </row>
    <row r="65" spans="2:9" ht="15" customHeight="1" x14ac:dyDescent="0.2">
      <c r="B65" t="s">
        <v>168</v>
      </c>
      <c r="C65" s="12">
        <v>12</v>
      </c>
      <c r="D65" s="8">
        <v>1.27</v>
      </c>
      <c r="E65" s="12">
        <v>5</v>
      </c>
      <c r="F65" s="8">
        <v>1.08</v>
      </c>
      <c r="G65" s="12">
        <v>7</v>
      </c>
      <c r="H65" s="8">
        <v>1.47</v>
      </c>
      <c r="I65" s="12">
        <v>0</v>
      </c>
    </row>
    <row r="66" spans="2:9" ht="15" customHeight="1" x14ac:dyDescent="0.2">
      <c r="B66" t="s">
        <v>151</v>
      </c>
      <c r="C66" s="12">
        <v>10</v>
      </c>
      <c r="D66" s="8">
        <v>1.05</v>
      </c>
      <c r="E66" s="12">
        <v>6</v>
      </c>
      <c r="F66" s="8">
        <v>1.29</v>
      </c>
      <c r="G66" s="12">
        <v>4</v>
      </c>
      <c r="H66" s="8">
        <v>0.84</v>
      </c>
      <c r="I66" s="12">
        <v>0</v>
      </c>
    </row>
    <row r="67" spans="2:9" ht="15" customHeight="1" x14ac:dyDescent="0.2">
      <c r="B67" t="s">
        <v>197</v>
      </c>
      <c r="C67" s="12">
        <v>10</v>
      </c>
      <c r="D67" s="8">
        <v>1.05</v>
      </c>
      <c r="E67" s="12">
        <v>6</v>
      </c>
      <c r="F67" s="8">
        <v>1.29</v>
      </c>
      <c r="G67" s="12">
        <v>4</v>
      </c>
      <c r="H67" s="8">
        <v>0.84</v>
      </c>
      <c r="I67" s="12">
        <v>0</v>
      </c>
    </row>
    <row r="68" spans="2:9" ht="15" customHeight="1" x14ac:dyDescent="0.2">
      <c r="B68" t="s">
        <v>175</v>
      </c>
      <c r="C68" s="12">
        <v>10</v>
      </c>
      <c r="D68" s="8">
        <v>1.05</v>
      </c>
      <c r="E68" s="12">
        <v>3</v>
      </c>
      <c r="F68" s="8">
        <v>0.65</v>
      </c>
      <c r="G68" s="12">
        <v>7</v>
      </c>
      <c r="H68" s="8">
        <v>1.47</v>
      </c>
      <c r="I68" s="12">
        <v>0</v>
      </c>
    </row>
    <row r="69" spans="2:9" ht="15" customHeight="1" x14ac:dyDescent="0.2">
      <c r="B69" t="s">
        <v>176</v>
      </c>
      <c r="C69" s="12">
        <v>10</v>
      </c>
      <c r="D69" s="8">
        <v>1.05</v>
      </c>
      <c r="E69" s="12">
        <v>1</v>
      </c>
      <c r="F69" s="8">
        <v>0.22</v>
      </c>
      <c r="G69" s="12">
        <v>9</v>
      </c>
      <c r="H69" s="8">
        <v>1.89</v>
      </c>
      <c r="I69" s="12">
        <v>0</v>
      </c>
    </row>
    <row r="70" spans="2:9" ht="15" customHeight="1" x14ac:dyDescent="0.2">
      <c r="B70" t="s">
        <v>177</v>
      </c>
      <c r="C70" s="12">
        <v>10</v>
      </c>
      <c r="D70" s="8">
        <v>1.05</v>
      </c>
      <c r="E70" s="12">
        <v>7</v>
      </c>
      <c r="F70" s="8">
        <v>1.51</v>
      </c>
      <c r="G70" s="12">
        <v>3</v>
      </c>
      <c r="H70" s="8">
        <v>0.63</v>
      </c>
      <c r="I70" s="12">
        <v>0</v>
      </c>
    </row>
    <row r="71" spans="2:9" ht="15" customHeight="1" x14ac:dyDescent="0.2">
      <c r="B71" t="s">
        <v>160</v>
      </c>
      <c r="C71" s="12">
        <v>10</v>
      </c>
      <c r="D71" s="8">
        <v>1.05</v>
      </c>
      <c r="E71" s="12">
        <v>2</v>
      </c>
      <c r="F71" s="8">
        <v>0.43</v>
      </c>
      <c r="G71" s="12">
        <v>7</v>
      </c>
      <c r="H71" s="8">
        <v>1.47</v>
      </c>
      <c r="I71" s="12">
        <v>1</v>
      </c>
    </row>
    <row r="72" spans="2:9" ht="15" customHeight="1" x14ac:dyDescent="0.2">
      <c r="B72" t="s">
        <v>169</v>
      </c>
      <c r="C72" s="12">
        <v>10</v>
      </c>
      <c r="D72" s="8">
        <v>1.05</v>
      </c>
      <c r="E72" s="12">
        <v>8</v>
      </c>
      <c r="F72" s="8">
        <v>1.72</v>
      </c>
      <c r="G72" s="12">
        <v>2</v>
      </c>
      <c r="H72" s="8">
        <v>0.42</v>
      </c>
      <c r="I72" s="12">
        <v>0</v>
      </c>
    </row>
    <row r="74" spans="2:9" ht="15" customHeight="1" x14ac:dyDescent="0.2">
      <c r="B74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AE65C-EB06-4226-8AAF-68ABF80263B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293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187</v>
      </c>
      <c r="D6" s="8">
        <v>19.940000000000001</v>
      </c>
      <c r="E6" s="12">
        <v>82</v>
      </c>
      <c r="F6" s="8">
        <v>14.88</v>
      </c>
      <c r="G6" s="12">
        <v>105</v>
      </c>
      <c r="H6" s="8">
        <v>27.63</v>
      </c>
      <c r="I6" s="12">
        <v>0</v>
      </c>
    </row>
    <row r="7" spans="2:9" ht="15" customHeight="1" x14ac:dyDescent="0.2">
      <c r="B7" t="s">
        <v>63</v>
      </c>
      <c r="C7" s="12">
        <v>76</v>
      </c>
      <c r="D7" s="8">
        <v>8.1</v>
      </c>
      <c r="E7" s="12">
        <v>29</v>
      </c>
      <c r="F7" s="8">
        <v>5.26</v>
      </c>
      <c r="G7" s="12">
        <v>47</v>
      </c>
      <c r="H7" s="8">
        <v>12.37</v>
      </c>
      <c r="I7" s="12">
        <v>0</v>
      </c>
    </row>
    <row r="8" spans="2:9" ht="15" customHeight="1" x14ac:dyDescent="0.2">
      <c r="B8" t="s">
        <v>64</v>
      </c>
      <c r="C8" s="12">
        <v>4</v>
      </c>
      <c r="D8" s="8">
        <v>0.43</v>
      </c>
      <c r="E8" s="12">
        <v>0</v>
      </c>
      <c r="F8" s="8">
        <v>0</v>
      </c>
      <c r="G8" s="12">
        <v>3</v>
      </c>
      <c r="H8" s="8">
        <v>0.79</v>
      </c>
      <c r="I8" s="12">
        <v>0</v>
      </c>
    </row>
    <row r="9" spans="2:9" ht="15" customHeight="1" x14ac:dyDescent="0.2">
      <c r="B9" t="s">
        <v>65</v>
      </c>
      <c r="C9" s="12">
        <v>8</v>
      </c>
      <c r="D9" s="8">
        <v>0.85</v>
      </c>
      <c r="E9" s="12">
        <v>0</v>
      </c>
      <c r="F9" s="8">
        <v>0</v>
      </c>
      <c r="G9" s="12">
        <v>8</v>
      </c>
      <c r="H9" s="8">
        <v>2.11</v>
      </c>
      <c r="I9" s="12">
        <v>0</v>
      </c>
    </row>
    <row r="10" spans="2:9" ht="15" customHeight="1" x14ac:dyDescent="0.2">
      <c r="B10" t="s">
        <v>66</v>
      </c>
      <c r="C10" s="12">
        <v>9</v>
      </c>
      <c r="D10" s="8">
        <v>0.96</v>
      </c>
      <c r="E10" s="12">
        <v>2</v>
      </c>
      <c r="F10" s="8">
        <v>0.36</v>
      </c>
      <c r="G10" s="12">
        <v>6</v>
      </c>
      <c r="H10" s="8">
        <v>1.58</v>
      </c>
      <c r="I10" s="12">
        <v>0</v>
      </c>
    </row>
    <row r="11" spans="2:9" ht="15" customHeight="1" x14ac:dyDescent="0.2">
      <c r="B11" t="s">
        <v>67</v>
      </c>
      <c r="C11" s="12">
        <v>239</v>
      </c>
      <c r="D11" s="8">
        <v>25.48</v>
      </c>
      <c r="E11" s="12">
        <v>128</v>
      </c>
      <c r="F11" s="8">
        <v>23.23</v>
      </c>
      <c r="G11" s="12">
        <v>111</v>
      </c>
      <c r="H11" s="8">
        <v>29.21</v>
      </c>
      <c r="I11" s="12">
        <v>0</v>
      </c>
    </row>
    <row r="12" spans="2:9" ht="15" customHeight="1" x14ac:dyDescent="0.2">
      <c r="B12" t="s">
        <v>68</v>
      </c>
      <c r="C12" s="12">
        <v>5</v>
      </c>
      <c r="D12" s="8">
        <v>0.53</v>
      </c>
      <c r="E12" s="12">
        <v>3</v>
      </c>
      <c r="F12" s="8">
        <v>0.54</v>
      </c>
      <c r="G12" s="12">
        <v>2</v>
      </c>
      <c r="H12" s="8">
        <v>0.53</v>
      </c>
      <c r="I12" s="12">
        <v>0</v>
      </c>
    </row>
    <row r="13" spans="2:9" ht="15" customHeight="1" x14ac:dyDescent="0.2">
      <c r="B13" t="s">
        <v>69</v>
      </c>
      <c r="C13" s="12">
        <v>56</v>
      </c>
      <c r="D13" s="8">
        <v>5.97</v>
      </c>
      <c r="E13" s="12">
        <v>26</v>
      </c>
      <c r="F13" s="8">
        <v>4.72</v>
      </c>
      <c r="G13" s="12">
        <v>30</v>
      </c>
      <c r="H13" s="8">
        <v>7.89</v>
      </c>
      <c r="I13" s="12">
        <v>0</v>
      </c>
    </row>
    <row r="14" spans="2:9" ht="15" customHeight="1" x14ac:dyDescent="0.2">
      <c r="B14" t="s">
        <v>70</v>
      </c>
      <c r="C14" s="12">
        <v>25</v>
      </c>
      <c r="D14" s="8">
        <v>2.67</v>
      </c>
      <c r="E14" s="12">
        <v>13</v>
      </c>
      <c r="F14" s="8">
        <v>2.36</v>
      </c>
      <c r="G14" s="12">
        <v>12</v>
      </c>
      <c r="H14" s="8">
        <v>3.16</v>
      </c>
      <c r="I14" s="12">
        <v>0</v>
      </c>
    </row>
    <row r="15" spans="2:9" ht="15" customHeight="1" x14ac:dyDescent="0.2">
      <c r="B15" t="s">
        <v>71</v>
      </c>
      <c r="C15" s="12">
        <v>107</v>
      </c>
      <c r="D15" s="8">
        <v>11.41</v>
      </c>
      <c r="E15" s="12">
        <v>95</v>
      </c>
      <c r="F15" s="8">
        <v>17.239999999999998</v>
      </c>
      <c r="G15" s="12">
        <v>11</v>
      </c>
      <c r="H15" s="8">
        <v>2.89</v>
      </c>
      <c r="I15" s="12">
        <v>0</v>
      </c>
    </row>
    <row r="16" spans="2:9" ht="15" customHeight="1" x14ac:dyDescent="0.2">
      <c r="B16" t="s">
        <v>72</v>
      </c>
      <c r="C16" s="12">
        <v>145</v>
      </c>
      <c r="D16" s="8">
        <v>15.46</v>
      </c>
      <c r="E16" s="12">
        <v>126</v>
      </c>
      <c r="F16" s="8">
        <v>22.87</v>
      </c>
      <c r="G16" s="12">
        <v>19</v>
      </c>
      <c r="H16" s="8">
        <v>5</v>
      </c>
      <c r="I16" s="12">
        <v>0</v>
      </c>
    </row>
    <row r="17" spans="2:9" ht="15" customHeight="1" x14ac:dyDescent="0.2">
      <c r="B17" t="s">
        <v>73</v>
      </c>
      <c r="C17" s="12">
        <v>19</v>
      </c>
      <c r="D17" s="8">
        <v>2.0299999999999998</v>
      </c>
      <c r="E17" s="12">
        <v>13</v>
      </c>
      <c r="F17" s="8">
        <v>2.36</v>
      </c>
      <c r="G17" s="12">
        <v>5</v>
      </c>
      <c r="H17" s="8">
        <v>1.32</v>
      </c>
      <c r="I17" s="12">
        <v>0</v>
      </c>
    </row>
    <row r="18" spans="2:9" ht="15" customHeight="1" x14ac:dyDescent="0.2">
      <c r="B18" t="s">
        <v>74</v>
      </c>
      <c r="C18" s="12">
        <v>33</v>
      </c>
      <c r="D18" s="8">
        <v>3.52</v>
      </c>
      <c r="E18" s="12">
        <v>20</v>
      </c>
      <c r="F18" s="8">
        <v>3.63</v>
      </c>
      <c r="G18" s="12">
        <v>11</v>
      </c>
      <c r="H18" s="8">
        <v>2.89</v>
      </c>
      <c r="I18" s="12">
        <v>0</v>
      </c>
    </row>
    <row r="19" spans="2:9" ht="15" customHeight="1" x14ac:dyDescent="0.2">
      <c r="B19" t="s">
        <v>75</v>
      </c>
      <c r="C19" s="12">
        <v>25</v>
      </c>
      <c r="D19" s="8">
        <v>2.67</v>
      </c>
      <c r="E19" s="12">
        <v>14</v>
      </c>
      <c r="F19" s="8">
        <v>2.54</v>
      </c>
      <c r="G19" s="12">
        <v>10</v>
      </c>
      <c r="H19" s="8">
        <v>2.63</v>
      </c>
      <c r="I19" s="12">
        <v>0</v>
      </c>
    </row>
    <row r="20" spans="2:9" ht="15" customHeight="1" x14ac:dyDescent="0.2">
      <c r="B20" s="9" t="s">
        <v>248</v>
      </c>
      <c r="C20" s="12">
        <f>SUM(LTBL_12238[総数／事業所数])</f>
        <v>938</v>
      </c>
      <c r="E20" s="12">
        <f>SUBTOTAL(109,LTBL_12238[個人／事業所数])</f>
        <v>551</v>
      </c>
      <c r="G20" s="12">
        <f>SUBTOTAL(109,LTBL_12238[法人／事業所数])</f>
        <v>380</v>
      </c>
      <c r="I20" s="12">
        <f>SUBTOTAL(109,LTBL_12238[法人以外の団体／事業所数])</f>
        <v>0</v>
      </c>
    </row>
    <row r="21" spans="2:9" ht="15" customHeight="1" x14ac:dyDescent="0.2">
      <c r="E21" s="11">
        <f>LTBL_12238[[#Totals],[個人／事業所数]]/LTBL_12238[[#Totals],[総数／事業所数]]</f>
        <v>0.58742004264392322</v>
      </c>
      <c r="G21" s="11">
        <f>LTBL_12238[[#Totals],[法人／事業所数]]/LTBL_12238[[#Totals],[総数／事業所数]]</f>
        <v>0.40511727078891258</v>
      </c>
      <c r="I21" s="11">
        <f>LTBL_12238[[#Totals],[法人以外の団体／事業所数]]/LTBL_12238[[#Totals],[総数／事業所数]]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111</v>
      </c>
      <c r="D24" s="8">
        <v>11.83</v>
      </c>
      <c r="E24" s="12">
        <v>102</v>
      </c>
      <c r="F24" s="8">
        <v>18.510000000000002</v>
      </c>
      <c r="G24" s="12">
        <v>9</v>
      </c>
      <c r="H24" s="8">
        <v>2.37</v>
      </c>
      <c r="I24" s="12">
        <v>0</v>
      </c>
    </row>
    <row r="25" spans="2:9" ht="15" customHeight="1" x14ac:dyDescent="0.2">
      <c r="B25" t="s">
        <v>92</v>
      </c>
      <c r="C25" s="12">
        <v>99</v>
      </c>
      <c r="D25" s="8">
        <v>10.55</v>
      </c>
      <c r="E25" s="12">
        <v>58</v>
      </c>
      <c r="F25" s="8">
        <v>10.53</v>
      </c>
      <c r="G25" s="12">
        <v>41</v>
      </c>
      <c r="H25" s="8">
        <v>10.79</v>
      </c>
      <c r="I25" s="12">
        <v>0</v>
      </c>
    </row>
    <row r="26" spans="2:9" ht="15" customHeight="1" x14ac:dyDescent="0.2">
      <c r="B26" t="s">
        <v>97</v>
      </c>
      <c r="C26" s="12">
        <v>85</v>
      </c>
      <c r="D26" s="8">
        <v>9.06</v>
      </c>
      <c r="E26" s="12">
        <v>78</v>
      </c>
      <c r="F26" s="8">
        <v>14.16</v>
      </c>
      <c r="G26" s="12">
        <v>7</v>
      </c>
      <c r="H26" s="8">
        <v>1.84</v>
      </c>
      <c r="I26" s="12">
        <v>0</v>
      </c>
    </row>
    <row r="27" spans="2:9" ht="15" customHeight="1" x14ac:dyDescent="0.2">
      <c r="B27" t="s">
        <v>84</v>
      </c>
      <c r="C27" s="12">
        <v>78</v>
      </c>
      <c r="D27" s="8">
        <v>8.32</v>
      </c>
      <c r="E27" s="12">
        <v>21</v>
      </c>
      <c r="F27" s="8">
        <v>3.81</v>
      </c>
      <c r="G27" s="12">
        <v>57</v>
      </c>
      <c r="H27" s="8">
        <v>15</v>
      </c>
      <c r="I27" s="12">
        <v>0</v>
      </c>
    </row>
    <row r="28" spans="2:9" ht="15" customHeight="1" x14ac:dyDescent="0.2">
      <c r="B28" t="s">
        <v>85</v>
      </c>
      <c r="C28" s="12">
        <v>60</v>
      </c>
      <c r="D28" s="8">
        <v>6.4</v>
      </c>
      <c r="E28" s="12">
        <v>39</v>
      </c>
      <c r="F28" s="8">
        <v>7.08</v>
      </c>
      <c r="G28" s="12">
        <v>21</v>
      </c>
      <c r="H28" s="8">
        <v>5.53</v>
      </c>
      <c r="I28" s="12">
        <v>0</v>
      </c>
    </row>
    <row r="29" spans="2:9" ht="15" customHeight="1" x14ac:dyDescent="0.2">
      <c r="B29" t="s">
        <v>90</v>
      </c>
      <c r="C29" s="12">
        <v>60</v>
      </c>
      <c r="D29" s="8">
        <v>6.4</v>
      </c>
      <c r="E29" s="12">
        <v>43</v>
      </c>
      <c r="F29" s="8">
        <v>7.8</v>
      </c>
      <c r="G29" s="12">
        <v>17</v>
      </c>
      <c r="H29" s="8">
        <v>4.47</v>
      </c>
      <c r="I29" s="12">
        <v>0</v>
      </c>
    </row>
    <row r="30" spans="2:9" ht="15" customHeight="1" x14ac:dyDescent="0.2">
      <c r="B30" t="s">
        <v>86</v>
      </c>
      <c r="C30" s="12">
        <v>49</v>
      </c>
      <c r="D30" s="8">
        <v>5.22</v>
      </c>
      <c r="E30" s="12">
        <v>22</v>
      </c>
      <c r="F30" s="8">
        <v>3.99</v>
      </c>
      <c r="G30" s="12">
        <v>27</v>
      </c>
      <c r="H30" s="8">
        <v>7.11</v>
      </c>
      <c r="I30" s="12">
        <v>0</v>
      </c>
    </row>
    <row r="31" spans="2:9" ht="15" customHeight="1" x14ac:dyDescent="0.2">
      <c r="B31" t="s">
        <v>94</v>
      </c>
      <c r="C31" s="12">
        <v>40</v>
      </c>
      <c r="D31" s="8">
        <v>4.26</v>
      </c>
      <c r="E31" s="12">
        <v>26</v>
      </c>
      <c r="F31" s="8">
        <v>4.72</v>
      </c>
      <c r="G31" s="12">
        <v>14</v>
      </c>
      <c r="H31" s="8">
        <v>3.68</v>
      </c>
      <c r="I31" s="12">
        <v>0</v>
      </c>
    </row>
    <row r="32" spans="2:9" ht="15" customHeight="1" x14ac:dyDescent="0.2">
      <c r="B32" t="s">
        <v>112</v>
      </c>
      <c r="C32" s="12">
        <v>23</v>
      </c>
      <c r="D32" s="8">
        <v>2.4500000000000002</v>
      </c>
      <c r="E32" s="12">
        <v>19</v>
      </c>
      <c r="F32" s="8">
        <v>3.45</v>
      </c>
      <c r="G32" s="12">
        <v>4</v>
      </c>
      <c r="H32" s="8">
        <v>1.05</v>
      </c>
      <c r="I32" s="12">
        <v>0</v>
      </c>
    </row>
    <row r="33" spans="2:9" ht="15" customHeight="1" x14ac:dyDescent="0.2">
      <c r="B33" t="s">
        <v>101</v>
      </c>
      <c r="C33" s="12">
        <v>23</v>
      </c>
      <c r="D33" s="8">
        <v>2.4500000000000002</v>
      </c>
      <c r="E33" s="12">
        <v>20</v>
      </c>
      <c r="F33" s="8">
        <v>3.63</v>
      </c>
      <c r="G33" s="12">
        <v>3</v>
      </c>
      <c r="H33" s="8">
        <v>0.79</v>
      </c>
      <c r="I33" s="12">
        <v>0</v>
      </c>
    </row>
    <row r="34" spans="2:9" ht="15" customHeight="1" x14ac:dyDescent="0.2">
      <c r="B34" t="s">
        <v>91</v>
      </c>
      <c r="C34" s="12">
        <v>20</v>
      </c>
      <c r="D34" s="8">
        <v>2.13</v>
      </c>
      <c r="E34" s="12">
        <v>9</v>
      </c>
      <c r="F34" s="8">
        <v>1.63</v>
      </c>
      <c r="G34" s="12">
        <v>11</v>
      </c>
      <c r="H34" s="8">
        <v>2.89</v>
      </c>
      <c r="I34" s="12">
        <v>0</v>
      </c>
    </row>
    <row r="35" spans="2:9" ht="15" customHeight="1" x14ac:dyDescent="0.2">
      <c r="B35" t="s">
        <v>100</v>
      </c>
      <c r="C35" s="12">
        <v>19</v>
      </c>
      <c r="D35" s="8">
        <v>2.0299999999999998</v>
      </c>
      <c r="E35" s="12">
        <v>13</v>
      </c>
      <c r="F35" s="8">
        <v>2.36</v>
      </c>
      <c r="G35" s="12">
        <v>5</v>
      </c>
      <c r="H35" s="8">
        <v>1.32</v>
      </c>
      <c r="I35" s="12">
        <v>0</v>
      </c>
    </row>
    <row r="36" spans="2:9" ht="15" customHeight="1" x14ac:dyDescent="0.2">
      <c r="B36" t="s">
        <v>89</v>
      </c>
      <c r="C36" s="12">
        <v>18</v>
      </c>
      <c r="D36" s="8">
        <v>1.92</v>
      </c>
      <c r="E36" s="12">
        <v>10</v>
      </c>
      <c r="F36" s="8">
        <v>1.81</v>
      </c>
      <c r="G36" s="12">
        <v>8</v>
      </c>
      <c r="H36" s="8">
        <v>2.11</v>
      </c>
      <c r="I36" s="12">
        <v>0</v>
      </c>
    </row>
    <row r="37" spans="2:9" ht="15" customHeight="1" x14ac:dyDescent="0.2">
      <c r="B37" t="s">
        <v>109</v>
      </c>
      <c r="C37" s="12">
        <v>16</v>
      </c>
      <c r="D37" s="8">
        <v>1.71</v>
      </c>
      <c r="E37" s="12">
        <v>2</v>
      </c>
      <c r="F37" s="8">
        <v>0.36</v>
      </c>
      <c r="G37" s="12">
        <v>14</v>
      </c>
      <c r="H37" s="8">
        <v>3.68</v>
      </c>
      <c r="I37" s="12">
        <v>0</v>
      </c>
    </row>
    <row r="38" spans="2:9" ht="15" customHeight="1" x14ac:dyDescent="0.2">
      <c r="B38" t="s">
        <v>93</v>
      </c>
      <c r="C38" s="12">
        <v>15</v>
      </c>
      <c r="D38" s="8">
        <v>1.6</v>
      </c>
      <c r="E38" s="12">
        <v>0</v>
      </c>
      <c r="F38" s="8">
        <v>0</v>
      </c>
      <c r="G38" s="12">
        <v>15</v>
      </c>
      <c r="H38" s="8">
        <v>3.95</v>
      </c>
      <c r="I38" s="12">
        <v>0</v>
      </c>
    </row>
    <row r="39" spans="2:9" ht="15" customHeight="1" x14ac:dyDescent="0.2">
      <c r="B39" t="s">
        <v>103</v>
      </c>
      <c r="C39" s="12">
        <v>15</v>
      </c>
      <c r="D39" s="8">
        <v>1.6</v>
      </c>
      <c r="E39" s="12">
        <v>11</v>
      </c>
      <c r="F39" s="8">
        <v>2</v>
      </c>
      <c r="G39" s="12">
        <v>4</v>
      </c>
      <c r="H39" s="8">
        <v>1.05</v>
      </c>
      <c r="I39" s="12">
        <v>0</v>
      </c>
    </row>
    <row r="40" spans="2:9" ht="15" customHeight="1" x14ac:dyDescent="0.2">
      <c r="B40" t="s">
        <v>95</v>
      </c>
      <c r="C40" s="12">
        <v>13</v>
      </c>
      <c r="D40" s="8">
        <v>1.39</v>
      </c>
      <c r="E40" s="12">
        <v>9</v>
      </c>
      <c r="F40" s="8">
        <v>1.63</v>
      </c>
      <c r="G40" s="12">
        <v>4</v>
      </c>
      <c r="H40" s="8">
        <v>1.05</v>
      </c>
      <c r="I40" s="12">
        <v>0</v>
      </c>
    </row>
    <row r="41" spans="2:9" ht="15" customHeight="1" x14ac:dyDescent="0.2">
      <c r="B41" t="s">
        <v>111</v>
      </c>
      <c r="C41" s="12">
        <v>13</v>
      </c>
      <c r="D41" s="8">
        <v>1.39</v>
      </c>
      <c r="E41" s="12">
        <v>11</v>
      </c>
      <c r="F41" s="8">
        <v>2</v>
      </c>
      <c r="G41" s="12">
        <v>2</v>
      </c>
      <c r="H41" s="8">
        <v>0.53</v>
      </c>
      <c r="I41" s="12">
        <v>0</v>
      </c>
    </row>
    <row r="42" spans="2:9" ht="15" customHeight="1" x14ac:dyDescent="0.2">
      <c r="B42" t="s">
        <v>119</v>
      </c>
      <c r="C42" s="12">
        <v>12</v>
      </c>
      <c r="D42" s="8">
        <v>1.28</v>
      </c>
      <c r="E42" s="12">
        <v>5</v>
      </c>
      <c r="F42" s="8">
        <v>0.91</v>
      </c>
      <c r="G42" s="12">
        <v>7</v>
      </c>
      <c r="H42" s="8">
        <v>1.84</v>
      </c>
      <c r="I42" s="12">
        <v>0</v>
      </c>
    </row>
    <row r="43" spans="2:9" ht="15" customHeight="1" x14ac:dyDescent="0.2">
      <c r="B43" t="s">
        <v>96</v>
      </c>
      <c r="C43" s="12">
        <v>12</v>
      </c>
      <c r="D43" s="8">
        <v>1.28</v>
      </c>
      <c r="E43" s="12">
        <v>4</v>
      </c>
      <c r="F43" s="8">
        <v>0.73</v>
      </c>
      <c r="G43" s="12">
        <v>8</v>
      </c>
      <c r="H43" s="8">
        <v>2.11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56</v>
      </c>
      <c r="D47" s="8">
        <v>5.97</v>
      </c>
      <c r="E47" s="12">
        <v>54</v>
      </c>
      <c r="F47" s="8">
        <v>9.8000000000000007</v>
      </c>
      <c r="G47" s="12">
        <v>2</v>
      </c>
      <c r="H47" s="8">
        <v>0.53</v>
      </c>
      <c r="I47" s="12">
        <v>0</v>
      </c>
    </row>
    <row r="48" spans="2:9" ht="15" customHeight="1" x14ac:dyDescent="0.2">
      <c r="B48" t="s">
        <v>163</v>
      </c>
      <c r="C48" s="12">
        <v>41</v>
      </c>
      <c r="D48" s="8">
        <v>4.37</v>
      </c>
      <c r="E48" s="12">
        <v>39</v>
      </c>
      <c r="F48" s="8">
        <v>7.08</v>
      </c>
      <c r="G48" s="12">
        <v>2</v>
      </c>
      <c r="H48" s="8">
        <v>0.53</v>
      </c>
      <c r="I48" s="12">
        <v>0</v>
      </c>
    </row>
    <row r="49" spans="2:9" ht="15" customHeight="1" x14ac:dyDescent="0.2">
      <c r="B49" t="s">
        <v>158</v>
      </c>
      <c r="C49" s="12">
        <v>30</v>
      </c>
      <c r="D49" s="8">
        <v>3.2</v>
      </c>
      <c r="E49" s="12">
        <v>25</v>
      </c>
      <c r="F49" s="8">
        <v>4.54</v>
      </c>
      <c r="G49" s="12">
        <v>5</v>
      </c>
      <c r="H49" s="8">
        <v>1.32</v>
      </c>
      <c r="I49" s="12">
        <v>0</v>
      </c>
    </row>
    <row r="50" spans="2:9" ht="15" customHeight="1" x14ac:dyDescent="0.2">
      <c r="B50" t="s">
        <v>150</v>
      </c>
      <c r="C50" s="12">
        <v>26</v>
      </c>
      <c r="D50" s="8">
        <v>2.77</v>
      </c>
      <c r="E50" s="12">
        <v>13</v>
      </c>
      <c r="F50" s="8">
        <v>2.36</v>
      </c>
      <c r="G50" s="12">
        <v>13</v>
      </c>
      <c r="H50" s="8">
        <v>3.42</v>
      </c>
      <c r="I50" s="12">
        <v>0</v>
      </c>
    </row>
    <row r="51" spans="2:9" ht="15" customHeight="1" x14ac:dyDescent="0.2">
      <c r="B51" t="s">
        <v>161</v>
      </c>
      <c r="C51" s="12">
        <v>25</v>
      </c>
      <c r="D51" s="8">
        <v>2.67</v>
      </c>
      <c r="E51" s="12">
        <v>22</v>
      </c>
      <c r="F51" s="8">
        <v>3.99</v>
      </c>
      <c r="G51" s="12">
        <v>3</v>
      </c>
      <c r="H51" s="8">
        <v>0.79</v>
      </c>
      <c r="I51" s="12">
        <v>0</v>
      </c>
    </row>
    <row r="52" spans="2:9" ht="15" customHeight="1" x14ac:dyDescent="0.2">
      <c r="B52" t="s">
        <v>148</v>
      </c>
      <c r="C52" s="12">
        <v>23</v>
      </c>
      <c r="D52" s="8">
        <v>2.4500000000000002</v>
      </c>
      <c r="E52" s="12">
        <v>4</v>
      </c>
      <c r="F52" s="8">
        <v>0.73</v>
      </c>
      <c r="G52" s="12">
        <v>19</v>
      </c>
      <c r="H52" s="8">
        <v>5</v>
      </c>
      <c r="I52" s="12">
        <v>0</v>
      </c>
    </row>
    <row r="53" spans="2:9" ht="15" customHeight="1" x14ac:dyDescent="0.2">
      <c r="B53" t="s">
        <v>152</v>
      </c>
      <c r="C53" s="12">
        <v>23</v>
      </c>
      <c r="D53" s="8">
        <v>2.4500000000000002</v>
      </c>
      <c r="E53" s="12">
        <v>12</v>
      </c>
      <c r="F53" s="8">
        <v>2.1800000000000002</v>
      </c>
      <c r="G53" s="12">
        <v>11</v>
      </c>
      <c r="H53" s="8">
        <v>2.89</v>
      </c>
      <c r="I53" s="12">
        <v>0</v>
      </c>
    </row>
    <row r="54" spans="2:9" ht="15" customHeight="1" x14ac:dyDescent="0.2">
      <c r="B54" t="s">
        <v>153</v>
      </c>
      <c r="C54" s="12">
        <v>23</v>
      </c>
      <c r="D54" s="8">
        <v>2.4500000000000002</v>
      </c>
      <c r="E54" s="12">
        <v>10</v>
      </c>
      <c r="F54" s="8">
        <v>1.81</v>
      </c>
      <c r="G54" s="12">
        <v>13</v>
      </c>
      <c r="H54" s="8">
        <v>3.42</v>
      </c>
      <c r="I54" s="12">
        <v>0</v>
      </c>
    </row>
    <row r="55" spans="2:9" ht="15" customHeight="1" x14ac:dyDescent="0.2">
      <c r="B55" t="s">
        <v>156</v>
      </c>
      <c r="C55" s="12">
        <v>22</v>
      </c>
      <c r="D55" s="8">
        <v>2.35</v>
      </c>
      <c r="E55" s="12">
        <v>16</v>
      </c>
      <c r="F55" s="8">
        <v>2.9</v>
      </c>
      <c r="G55" s="12">
        <v>6</v>
      </c>
      <c r="H55" s="8">
        <v>1.58</v>
      </c>
      <c r="I55" s="12">
        <v>0</v>
      </c>
    </row>
    <row r="56" spans="2:9" ht="15" customHeight="1" x14ac:dyDescent="0.2">
      <c r="B56" t="s">
        <v>200</v>
      </c>
      <c r="C56" s="12">
        <v>20</v>
      </c>
      <c r="D56" s="8">
        <v>2.13</v>
      </c>
      <c r="E56" s="12">
        <v>18</v>
      </c>
      <c r="F56" s="8">
        <v>3.27</v>
      </c>
      <c r="G56" s="12">
        <v>2</v>
      </c>
      <c r="H56" s="8">
        <v>0.53</v>
      </c>
      <c r="I56" s="12">
        <v>0</v>
      </c>
    </row>
    <row r="57" spans="2:9" ht="15" customHeight="1" x14ac:dyDescent="0.2">
      <c r="B57" t="s">
        <v>154</v>
      </c>
      <c r="C57" s="12">
        <v>19</v>
      </c>
      <c r="D57" s="8">
        <v>2.0299999999999998</v>
      </c>
      <c r="E57" s="12">
        <v>14</v>
      </c>
      <c r="F57" s="8">
        <v>2.54</v>
      </c>
      <c r="G57" s="12">
        <v>5</v>
      </c>
      <c r="H57" s="8">
        <v>1.32</v>
      </c>
      <c r="I57" s="12">
        <v>0</v>
      </c>
    </row>
    <row r="58" spans="2:9" ht="15" customHeight="1" x14ac:dyDescent="0.2">
      <c r="B58" t="s">
        <v>168</v>
      </c>
      <c r="C58" s="12">
        <v>19</v>
      </c>
      <c r="D58" s="8">
        <v>2.0299999999999998</v>
      </c>
      <c r="E58" s="12">
        <v>6</v>
      </c>
      <c r="F58" s="8">
        <v>1.0900000000000001</v>
      </c>
      <c r="G58" s="12">
        <v>13</v>
      </c>
      <c r="H58" s="8">
        <v>3.42</v>
      </c>
      <c r="I58" s="12">
        <v>0</v>
      </c>
    </row>
    <row r="59" spans="2:9" ht="15" customHeight="1" x14ac:dyDescent="0.2">
      <c r="B59" t="s">
        <v>162</v>
      </c>
      <c r="C59" s="12">
        <v>19</v>
      </c>
      <c r="D59" s="8">
        <v>2.0299999999999998</v>
      </c>
      <c r="E59" s="12">
        <v>18</v>
      </c>
      <c r="F59" s="8">
        <v>3.27</v>
      </c>
      <c r="G59" s="12">
        <v>1</v>
      </c>
      <c r="H59" s="8">
        <v>0.26</v>
      </c>
      <c r="I59" s="12">
        <v>0</v>
      </c>
    </row>
    <row r="60" spans="2:9" ht="15" customHeight="1" x14ac:dyDescent="0.2">
      <c r="B60" t="s">
        <v>166</v>
      </c>
      <c r="C60" s="12">
        <v>18</v>
      </c>
      <c r="D60" s="8">
        <v>1.92</v>
      </c>
      <c r="E60" s="12">
        <v>17</v>
      </c>
      <c r="F60" s="8">
        <v>3.09</v>
      </c>
      <c r="G60" s="12">
        <v>1</v>
      </c>
      <c r="H60" s="8">
        <v>0.26</v>
      </c>
      <c r="I60" s="12">
        <v>0</v>
      </c>
    </row>
    <row r="61" spans="2:9" ht="15" customHeight="1" x14ac:dyDescent="0.2">
      <c r="B61" t="s">
        <v>167</v>
      </c>
      <c r="C61" s="12">
        <v>15</v>
      </c>
      <c r="D61" s="8">
        <v>1.6</v>
      </c>
      <c r="E61" s="12">
        <v>11</v>
      </c>
      <c r="F61" s="8">
        <v>2</v>
      </c>
      <c r="G61" s="12">
        <v>4</v>
      </c>
      <c r="H61" s="8">
        <v>1.05</v>
      </c>
      <c r="I61" s="12">
        <v>0</v>
      </c>
    </row>
    <row r="62" spans="2:9" ht="15" customHeight="1" x14ac:dyDescent="0.2">
      <c r="B62" t="s">
        <v>196</v>
      </c>
      <c r="C62" s="12">
        <v>14</v>
      </c>
      <c r="D62" s="8">
        <v>1.49</v>
      </c>
      <c r="E62" s="12">
        <v>10</v>
      </c>
      <c r="F62" s="8">
        <v>1.81</v>
      </c>
      <c r="G62" s="12">
        <v>4</v>
      </c>
      <c r="H62" s="8">
        <v>1.05</v>
      </c>
      <c r="I62" s="12">
        <v>0</v>
      </c>
    </row>
    <row r="63" spans="2:9" ht="15" customHeight="1" x14ac:dyDescent="0.2">
      <c r="B63" t="s">
        <v>190</v>
      </c>
      <c r="C63" s="12">
        <v>14</v>
      </c>
      <c r="D63" s="8">
        <v>1.49</v>
      </c>
      <c r="E63" s="12">
        <v>13</v>
      </c>
      <c r="F63" s="8">
        <v>2.36</v>
      </c>
      <c r="G63" s="12">
        <v>1</v>
      </c>
      <c r="H63" s="8">
        <v>0.26</v>
      </c>
      <c r="I63" s="12">
        <v>0</v>
      </c>
    </row>
    <row r="64" spans="2:9" ht="15" customHeight="1" x14ac:dyDescent="0.2">
      <c r="B64" t="s">
        <v>149</v>
      </c>
      <c r="C64" s="12">
        <v>13</v>
      </c>
      <c r="D64" s="8">
        <v>1.39</v>
      </c>
      <c r="E64" s="12">
        <v>2</v>
      </c>
      <c r="F64" s="8">
        <v>0.36</v>
      </c>
      <c r="G64" s="12">
        <v>11</v>
      </c>
      <c r="H64" s="8">
        <v>2.89</v>
      </c>
      <c r="I64" s="12">
        <v>0</v>
      </c>
    </row>
    <row r="65" spans="2:9" ht="15" customHeight="1" x14ac:dyDescent="0.2">
      <c r="B65" t="s">
        <v>191</v>
      </c>
      <c r="C65" s="12">
        <v>13</v>
      </c>
      <c r="D65" s="8">
        <v>1.39</v>
      </c>
      <c r="E65" s="12">
        <v>3</v>
      </c>
      <c r="F65" s="8">
        <v>0.54</v>
      </c>
      <c r="G65" s="12">
        <v>10</v>
      </c>
      <c r="H65" s="8">
        <v>2.63</v>
      </c>
      <c r="I65" s="12">
        <v>0</v>
      </c>
    </row>
    <row r="66" spans="2:9" ht="15" customHeight="1" x14ac:dyDescent="0.2">
      <c r="B66" t="s">
        <v>202</v>
      </c>
      <c r="C66" s="12">
        <v>13</v>
      </c>
      <c r="D66" s="8">
        <v>1.39</v>
      </c>
      <c r="E66" s="12">
        <v>10</v>
      </c>
      <c r="F66" s="8">
        <v>1.81</v>
      </c>
      <c r="G66" s="12">
        <v>3</v>
      </c>
      <c r="H66" s="8">
        <v>0.79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7200E-F300-4B90-8A7E-C147FF5F7A9D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294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149</v>
      </c>
      <c r="D6" s="8">
        <v>17.43</v>
      </c>
      <c r="E6" s="12">
        <v>37</v>
      </c>
      <c r="F6" s="8">
        <v>9.02</v>
      </c>
      <c r="G6" s="12">
        <v>112</v>
      </c>
      <c r="H6" s="8">
        <v>25.69</v>
      </c>
      <c r="I6" s="12">
        <v>0</v>
      </c>
    </row>
    <row r="7" spans="2:9" ht="15" customHeight="1" x14ac:dyDescent="0.2">
      <c r="B7" t="s">
        <v>63</v>
      </c>
      <c r="C7" s="12">
        <v>52</v>
      </c>
      <c r="D7" s="8">
        <v>6.08</v>
      </c>
      <c r="E7" s="12">
        <v>23</v>
      </c>
      <c r="F7" s="8">
        <v>5.61</v>
      </c>
      <c r="G7" s="12">
        <v>29</v>
      </c>
      <c r="H7" s="8">
        <v>6.65</v>
      </c>
      <c r="I7" s="12">
        <v>0</v>
      </c>
    </row>
    <row r="8" spans="2:9" ht="15" customHeight="1" x14ac:dyDescent="0.2">
      <c r="B8" t="s">
        <v>64</v>
      </c>
      <c r="C8" s="12">
        <v>1</v>
      </c>
      <c r="D8" s="8">
        <v>0.12</v>
      </c>
      <c r="E8" s="12">
        <v>0</v>
      </c>
      <c r="F8" s="8">
        <v>0</v>
      </c>
      <c r="G8" s="12">
        <v>1</v>
      </c>
      <c r="H8" s="8">
        <v>0.23</v>
      </c>
      <c r="I8" s="12">
        <v>0</v>
      </c>
    </row>
    <row r="9" spans="2:9" ht="15" customHeight="1" x14ac:dyDescent="0.2">
      <c r="B9" t="s">
        <v>65</v>
      </c>
      <c r="C9" s="12">
        <v>11</v>
      </c>
      <c r="D9" s="8">
        <v>1.29</v>
      </c>
      <c r="E9" s="12">
        <v>1</v>
      </c>
      <c r="F9" s="8">
        <v>0.24</v>
      </c>
      <c r="G9" s="12">
        <v>10</v>
      </c>
      <c r="H9" s="8">
        <v>2.29</v>
      </c>
      <c r="I9" s="12">
        <v>0</v>
      </c>
    </row>
    <row r="10" spans="2:9" ht="15" customHeight="1" x14ac:dyDescent="0.2">
      <c r="B10" t="s">
        <v>66</v>
      </c>
      <c r="C10" s="12">
        <v>1</v>
      </c>
      <c r="D10" s="8">
        <v>0.12</v>
      </c>
      <c r="E10" s="12">
        <v>0</v>
      </c>
      <c r="F10" s="8">
        <v>0</v>
      </c>
      <c r="G10" s="12">
        <v>1</v>
      </c>
      <c r="H10" s="8">
        <v>0.23</v>
      </c>
      <c r="I10" s="12">
        <v>0</v>
      </c>
    </row>
    <row r="11" spans="2:9" ht="15" customHeight="1" x14ac:dyDescent="0.2">
      <c r="B11" t="s">
        <v>67</v>
      </c>
      <c r="C11" s="12">
        <v>158</v>
      </c>
      <c r="D11" s="8">
        <v>18.48</v>
      </c>
      <c r="E11" s="12">
        <v>69</v>
      </c>
      <c r="F11" s="8">
        <v>16.829999999999998</v>
      </c>
      <c r="G11" s="12">
        <v>89</v>
      </c>
      <c r="H11" s="8">
        <v>20.41</v>
      </c>
      <c r="I11" s="12">
        <v>0</v>
      </c>
    </row>
    <row r="12" spans="2:9" ht="15" customHeight="1" x14ac:dyDescent="0.2">
      <c r="B12" t="s">
        <v>68</v>
      </c>
      <c r="C12" s="12">
        <v>8</v>
      </c>
      <c r="D12" s="8">
        <v>0.94</v>
      </c>
      <c r="E12" s="12">
        <v>0</v>
      </c>
      <c r="F12" s="8">
        <v>0</v>
      </c>
      <c r="G12" s="12">
        <v>8</v>
      </c>
      <c r="H12" s="8">
        <v>1.83</v>
      </c>
      <c r="I12" s="12">
        <v>0</v>
      </c>
    </row>
    <row r="13" spans="2:9" ht="15" customHeight="1" x14ac:dyDescent="0.2">
      <c r="B13" t="s">
        <v>69</v>
      </c>
      <c r="C13" s="12">
        <v>107</v>
      </c>
      <c r="D13" s="8">
        <v>12.51</v>
      </c>
      <c r="E13" s="12">
        <v>52</v>
      </c>
      <c r="F13" s="8">
        <v>12.68</v>
      </c>
      <c r="G13" s="12">
        <v>55</v>
      </c>
      <c r="H13" s="8">
        <v>12.61</v>
      </c>
      <c r="I13" s="12">
        <v>0</v>
      </c>
    </row>
    <row r="14" spans="2:9" ht="15" customHeight="1" x14ac:dyDescent="0.2">
      <c r="B14" t="s">
        <v>70</v>
      </c>
      <c r="C14" s="12">
        <v>44</v>
      </c>
      <c r="D14" s="8">
        <v>5.15</v>
      </c>
      <c r="E14" s="12">
        <v>12</v>
      </c>
      <c r="F14" s="8">
        <v>2.93</v>
      </c>
      <c r="G14" s="12">
        <v>32</v>
      </c>
      <c r="H14" s="8">
        <v>7.34</v>
      </c>
      <c r="I14" s="12">
        <v>0</v>
      </c>
    </row>
    <row r="15" spans="2:9" ht="15" customHeight="1" x14ac:dyDescent="0.2">
      <c r="B15" t="s">
        <v>71</v>
      </c>
      <c r="C15" s="12">
        <v>89</v>
      </c>
      <c r="D15" s="8">
        <v>10.41</v>
      </c>
      <c r="E15" s="12">
        <v>72</v>
      </c>
      <c r="F15" s="8">
        <v>17.559999999999999</v>
      </c>
      <c r="G15" s="12">
        <v>17</v>
      </c>
      <c r="H15" s="8">
        <v>3.9</v>
      </c>
      <c r="I15" s="12">
        <v>0</v>
      </c>
    </row>
    <row r="16" spans="2:9" ht="15" customHeight="1" x14ac:dyDescent="0.2">
      <c r="B16" t="s">
        <v>72</v>
      </c>
      <c r="C16" s="12">
        <v>124</v>
      </c>
      <c r="D16" s="8">
        <v>14.5</v>
      </c>
      <c r="E16" s="12">
        <v>86</v>
      </c>
      <c r="F16" s="8">
        <v>20.98</v>
      </c>
      <c r="G16" s="12">
        <v>37</v>
      </c>
      <c r="H16" s="8">
        <v>8.49</v>
      </c>
      <c r="I16" s="12">
        <v>0</v>
      </c>
    </row>
    <row r="17" spans="2:9" ht="15" customHeight="1" x14ac:dyDescent="0.2">
      <c r="B17" t="s">
        <v>73</v>
      </c>
      <c r="C17" s="12">
        <v>31</v>
      </c>
      <c r="D17" s="8">
        <v>3.63</v>
      </c>
      <c r="E17" s="12">
        <v>21</v>
      </c>
      <c r="F17" s="8">
        <v>5.12</v>
      </c>
      <c r="G17" s="12">
        <v>7</v>
      </c>
      <c r="H17" s="8">
        <v>1.61</v>
      </c>
      <c r="I17" s="12">
        <v>0</v>
      </c>
    </row>
    <row r="18" spans="2:9" ht="15" customHeight="1" x14ac:dyDescent="0.2">
      <c r="B18" t="s">
        <v>74</v>
      </c>
      <c r="C18" s="12">
        <v>49</v>
      </c>
      <c r="D18" s="8">
        <v>5.73</v>
      </c>
      <c r="E18" s="12">
        <v>29</v>
      </c>
      <c r="F18" s="8">
        <v>7.07</v>
      </c>
      <c r="G18" s="12">
        <v>17</v>
      </c>
      <c r="H18" s="8">
        <v>3.9</v>
      </c>
      <c r="I18" s="12">
        <v>0</v>
      </c>
    </row>
    <row r="19" spans="2:9" ht="15" customHeight="1" x14ac:dyDescent="0.2">
      <c r="B19" t="s">
        <v>75</v>
      </c>
      <c r="C19" s="12">
        <v>31</v>
      </c>
      <c r="D19" s="8">
        <v>3.63</v>
      </c>
      <c r="E19" s="12">
        <v>8</v>
      </c>
      <c r="F19" s="8">
        <v>1.95</v>
      </c>
      <c r="G19" s="12">
        <v>21</v>
      </c>
      <c r="H19" s="8">
        <v>4.82</v>
      </c>
      <c r="I19" s="12">
        <v>0</v>
      </c>
    </row>
    <row r="20" spans="2:9" ht="15" customHeight="1" x14ac:dyDescent="0.2">
      <c r="B20" s="9" t="s">
        <v>248</v>
      </c>
      <c r="C20" s="12">
        <f>SUM(LTBL_12239[総数／事業所数])</f>
        <v>855</v>
      </c>
      <c r="E20" s="12">
        <f>SUBTOTAL(109,LTBL_12239[個人／事業所数])</f>
        <v>410</v>
      </c>
      <c r="G20" s="12">
        <f>SUBTOTAL(109,LTBL_12239[法人／事業所数])</f>
        <v>436</v>
      </c>
      <c r="I20" s="12">
        <f>SUBTOTAL(109,LTBL_12239[法人以外の団体／事業所数])</f>
        <v>0</v>
      </c>
    </row>
    <row r="21" spans="2:9" ht="15" customHeight="1" x14ac:dyDescent="0.2">
      <c r="E21" s="11">
        <f>LTBL_12239[[#Totals],[個人／事業所数]]/LTBL_12239[[#Totals],[総数／事業所数]]</f>
        <v>0.47953216374269003</v>
      </c>
      <c r="G21" s="11">
        <f>LTBL_12239[[#Totals],[法人／事業所数]]/LTBL_12239[[#Totals],[総数／事業所数]]</f>
        <v>0.50994152046783625</v>
      </c>
      <c r="I21" s="11">
        <f>LTBL_12239[[#Totals],[法人以外の団体／事業所数]]/LTBL_12239[[#Totals],[総数／事業所数]]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96</v>
      </c>
      <c r="D24" s="8">
        <v>11.23</v>
      </c>
      <c r="E24" s="12">
        <v>78</v>
      </c>
      <c r="F24" s="8">
        <v>19.02</v>
      </c>
      <c r="G24" s="12">
        <v>18</v>
      </c>
      <c r="H24" s="8">
        <v>4.13</v>
      </c>
      <c r="I24" s="12">
        <v>0</v>
      </c>
    </row>
    <row r="25" spans="2:9" ht="15" customHeight="1" x14ac:dyDescent="0.2">
      <c r="B25" t="s">
        <v>97</v>
      </c>
      <c r="C25" s="12">
        <v>79</v>
      </c>
      <c r="D25" s="8">
        <v>9.24</v>
      </c>
      <c r="E25" s="12">
        <v>68</v>
      </c>
      <c r="F25" s="8">
        <v>16.59</v>
      </c>
      <c r="G25" s="12">
        <v>11</v>
      </c>
      <c r="H25" s="8">
        <v>2.52</v>
      </c>
      <c r="I25" s="12">
        <v>0</v>
      </c>
    </row>
    <row r="26" spans="2:9" ht="15" customHeight="1" x14ac:dyDescent="0.2">
      <c r="B26" t="s">
        <v>94</v>
      </c>
      <c r="C26" s="12">
        <v>77</v>
      </c>
      <c r="D26" s="8">
        <v>9.01</v>
      </c>
      <c r="E26" s="12">
        <v>49</v>
      </c>
      <c r="F26" s="8">
        <v>11.95</v>
      </c>
      <c r="G26" s="12">
        <v>28</v>
      </c>
      <c r="H26" s="8">
        <v>6.42</v>
      </c>
      <c r="I26" s="12">
        <v>0</v>
      </c>
    </row>
    <row r="27" spans="2:9" ht="15" customHeight="1" x14ac:dyDescent="0.2">
      <c r="B27" t="s">
        <v>84</v>
      </c>
      <c r="C27" s="12">
        <v>65</v>
      </c>
      <c r="D27" s="8">
        <v>7.6</v>
      </c>
      <c r="E27" s="12">
        <v>13</v>
      </c>
      <c r="F27" s="8">
        <v>3.17</v>
      </c>
      <c r="G27" s="12">
        <v>52</v>
      </c>
      <c r="H27" s="8">
        <v>11.93</v>
      </c>
      <c r="I27" s="12">
        <v>0</v>
      </c>
    </row>
    <row r="28" spans="2:9" ht="15" customHeight="1" x14ac:dyDescent="0.2">
      <c r="B28" t="s">
        <v>85</v>
      </c>
      <c r="C28" s="12">
        <v>46</v>
      </c>
      <c r="D28" s="8">
        <v>5.38</v>
      </c>
      <c r="E28" s="12">
        <v>17</v>
      </c>
      <c r="F28" s="8">
        <v>4.1500000000000004</v>
      </c>
      <c r="G28" s="12">
        <v>29</v>
      </c>
      <c r="H28" s="8">
        <v>6.65</v>
      </c>
      <c r="I28" s="12">
        <v>0</v>
      </c>
    </row>
    <row r="29" spans="2:9" ht="15" customHeight="1" x14ac:dyDescent="0.2">
      <c r="B29" t="s">
        <v>92</v>
      </c>
      <c r="C29" s="12">
        <v>40</v>
      </c>
      <c r="D29" s="8">
        <v>4.68</v>
      </c>
      <c r="E29" s="12">
        <v>15</v>
      </c>
      <c r="F29" s="8">
        <v>3.66</v>
      </c>
      <c r="G29" s="12">
        <v>25</v>
      </c>
      <c r="H29" s="8">
        <v>5.73</v>
      </c>
      <c r="I29" s="12">
        <v>0</v>
      </c>
    </row>
    <row r="30" spans="2:9" ht="15" customHeight="1" x14ac:dyDescent="0.2">
      <c r="B30" t="s">
        <v>86</v>
      </c>
      <c r="C30" s="12">
        <v>38</v>
      </c>
      <c r="D30" s="8">
        <v>4.4400000000000004</v>
      </c>
      <c r="E30" s="12">
        <v>7</v>
      </c>
      <c r="F30" s="8">
        <v>1.71</v>
      </c>
      <c r="G30" s="12">
        <v>31</v>
      </c>
      <c r="H30" s="8">
        <v>7.11</v>
      </c>
      <c r="I30" s="12">
        <v>0</v>
      </c>
    </row>
    <row r="31" spans="2:9" ht="15" customHeight="1" x14ac:dyDescent="0.2">
      <c r="B31" t="s">
        <v>90</v>
      </c>
      <c r="C31" s="12">
        <v>33</v>
      </c>
      <c r="D31" s="8">
        <v>3.86</v>
      </c>
      <c r="E31" s="12">
        <v>28</v>
      </c>
      <c r="F31" s="8">
        <v>6.83</v>
      </c>
      <c r="G31" s="12">
        <v>5</v>
      </c>
      <c r="H31" s="8">
        <v>1.1499999999999999</v>
      </c>
      <c r="I31" s="12">
        <v>0</v>
      </c>
    </row>
    <row r="32" spans="2:9" ht="15" customHeight="1" x14ac:dyDescent="0.2">
      <c r="B32" t="s">
        <v>100</v>
      </c>
      <c r="C32" s="12">
        <v>31</v>
      </c>
      <c r="D32" s="8">
        <v>3.63</v>
      </c>
      <c r="E32" s="12">
        <v>21</v>
      </c>
      <c r="F32" s="8">
        <v>5.12</v>
      </c>
      <c r="G32" s="12">
        <v>7</v>
      </c>
      <c r="H32" s="8">
        <v>1.61</v>
      </c>
      <c r="I32" s="12">
        <v>0</v>
      </c>
    </row>
    <row r="33" spans="2:9" ht="15" customHeight="1" x14ac:dyDescent="0.2">
      <c r="B33" t="s">
        <v>101</v>
      </c>
      <c r="C33" s="12">
        <v>31</v>
      </c>
      <c r="D33" s="8">
        <v>3.63</v>
      </c>
      <c r="E33" s="12">
        <v>29</v>
      </c>
      <c r="F33" s="8">
        <v>7.07</v>
      </c>
      <c r="G33" s="12">
        <v>2</v>
      </c>
      <c r="H33" s="8">
        <v>0.46</v>
      </c>
      <c r="I33" s="12">
        <v>0</v>
      </c>
    </row>
    <row r="34" spans="2:9" ht="15" customHeight="1" x14ac:dyDescent="0.2">
      <c r="B34" t="s">
        <v>91</v>
      </c>
      <c r="C34" s="12">
        <v>30</v>
      </c>
      <c r="D34" s="8">
        <v>3.51</v>
      </c>
      <c r="E34" s="12">
        <v>14</v>
      </c>
      <c r="F34" s="8">
        <v>3.41</v>
      </c>
      <c r="G34" s="12">
        <v>16</v>
      </c>
      <c r="H34" s="8">
        <v>3.67</v>
      </c>
      <c r="I34" s="12">
        <v>0</v>
      </c>
    </row>
    <row r="35" spans="2:9" ht="15" customHeight="1" x14ac:dyDescent="0.2">
      <c r="B35" t="s">
        <v>93</v>
      </c>
      <c r="C35" s="12">
        <v>24</v>
      </c>
      <c r="D35" s="8">
        <v>2.81</v>
      </c>
      <c r="E35" s="12">
        <v>1</v>
      </c>
      <c r="F35" s="8">
        <v>0.24</v>
      </c>
      <c r="G35" s="12">
        <v>23</v>
      </c>
      <c r="H35" s="8">
        <v>5.28</v>
      </c>
      <c r="I35" s="12">
        <v>0</v>
      </c>
    </row>
    <row r="36" spans="2:9" ht="15" customHeight="1" x14ac:dyDescent="0.2">
      <c r="B36" t="s">
        <v>95</v>
      </c>
      <c r="C36" s="12">
        <v>22</v>
      </c>
      <c r="D36" s="8">
        <v>2.57</v>
      </c>
      <c r="E36" s="12">
        <v>8</v>
      </c>
      <c r="F36" s="8">
        <v>1.95</v>
      </c>
      <c r="G36" s="12">
        <v>14</v>
      </c>
      <c r="H36" s="8">
        <v>3.21</v>
      </c>
      <c r="I36" s="12">
        <v>0</v>
      </c>
    </row>
    <row r="37" spans="2:9" ht="15" customHeight="1" x14ac:dyDescent="0.2">
      <c r="B37" t="s">
        <v>99</v>
      </c>
      <c r="C37" s="12">
        <v>21</v>
      </c>
      <c r="D37" s="8">
        <v>2.46</v>
      </c>
      <c r="E37" s="12">
        <v>7</v>
      </c>
      <c r="F37" s="8">
        <v>1.71</v>
      </c>
      <c r="G37" s="12">
        <v>14</v>
      </c>
      <c r="H37" s="8">
        <v>3.21</v>
      </c>
      <c r="I37" s="12">
        <v>0</v>
      </c>
    </row>
    <row r="38" spans="2:9" ht="15" customHeight="1" x14ac:dyDescent="0.2">
      <c r="B38" t="s">
        <v>89</v>
      </c>
      <c r="C38" s="12">
        <v>20</v>
      </c>
      <c r="D38" s="8">
        <v>2.34</v>
      </c>
      <c r="E38" s="12">
        <v>9</v>
      </c>
      <c r="F38" s="8">
        <v>2.2000000000000002</v>
      </c>
      <c r="G38" s="12">
        <v>11</v>
      </c>
      <c r="H38" s="8">
        <v>2.52</v>
      </c>
      <c r="I38" s="12">
        <v>0</v>
      </c>
    </row>
    <row r="39" spans="2:9" ht="15" customHeight="1" x14ac:dyDescent="0.2">
      <c r="B39" t="s">
        <v>96</v>
      </c>
      <c r="C39" s="12">
        <v>19</v>
      </c>
      <c r="D39" s="8">
        <v>2.2200000000000002</v>
      </c>
      <c r="E39" s="12">
        <v>4</v>
      </c>
      <c r="F39" s="8">
        <v>0.98</v>
      </c>
      <c r="G39" s="12">
        <v>15</v>
      </c>
      <c r="H39" s="8">
        <v>3.44</v>
      </c>
      <c r="I39" s="12">
        <v>0</v>
      </c>
    </row>
    <row r="40" spans="2:9" ht="15" customHeight="1" x14ac:dyDescent="0.2">
      <c r="B40" t="s">
        <v>102</v>
      </c>
      <c r="C40" s="12">
        <v>18</v>
      </c>
      <c r="D40" s="8">
        <v>2.11</v>
      </c>
      <c r="E40" s="12">
        <v>0</v>
      </c>
      <c r="F40" s="8">
        <v>0</v>
      </c>
      <c r="G40" s="12">
        <v>15</v>
      </c>
      <c r="H40" s="8">
        <v>3.44</v>
      </c>
      <c r="I40" s="12">
        <v>0</v>
      </c>
    </row>
    <row r="41" spans="2:9" ht="15" customHeight="1" x14ac:dyDescent="0.2">
      <c r="B41" t="s">
        <v>103</v>
      </c>
      <c r="C41" s="12">
        <v>16</v>
      </c>
      <c r="D41" s="8">
        <v>1.87</v>
      </c>
      <c r="E41" s="12">
        <v>7</v>
      </c>
      <c r="F41" s="8">
        <v>1.71</v>
      </c>
      <c r="G41" s="12">
        <v>9</v>
      </c>
      <c r="H41" s="8">
        <v>2.06</v>
      </c>
      <c r="I41" s="12">
        <v>0</v>
      </c>
    </row>
    <row r="42" spans="2:9" ht="15" customHeight="1" x14ac:dyDescent="0.2">
      <c r="B42" t="s">
        <v>110</v>
      </c>
      <c r="C42" s="12">
        <v>14</v>
      </c>
      <c r="D42" s="8">
        <v>1.64</v>
      </c>
      <c r="E42" s="12">
        <v>10</v>
      </c>
      <c r="F42" s="8">
        <v>2.44</v>
      </c>
      <c r="G42" s="12">
        <v>4</v>
      </c>
      <c r="H42" s="8">
        <v>0.92</v>
      </c>
      <c r="I42" s="12">
        <v>0</v>
      </c>
    </row>
    <row r="43" spans="2:9" ht="15" customHeight="1" x14ac:dyDescent="0.2">
      <c r="B43" t="s">
        <v>87</v>
      </c>
      <c r="C43" s="12">
        <v>10</v>
      </c>
      <c r="D43" s="8">
        <v>1.17</v>
      </c>
      <c r="E43" s="12">
        <v>0</v>
      </c>
      <c r="F43" s="8">
        <v>0</v>
      </c>
      <c r="G43" s="12">
        <v>10</v>
      </c>
      <c r="H43" s="8">
        <v>2.29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48</v>
      </c>
      <c r="D47" s="8">
        <v>5.61</v>
      </c>
      <c r="E47" s="12">
        <v>43</v>
      </c>
      <c r="F47" s="8">
        <v>10.49</v>
      </c>
      <c r="G47" s="12">
        <v>5</v>
      </c>
      <c r="H47" s="8">
        <v>1.1499999999999999</v>
      </c>
      <c r="I47" s="12">
        <v>0</v>
      </c>
    </row>
    <row r="48" spans="2:9" ht="15" customHeight="1" x14ac:dyDescent="0.2">
      <c r="B48" t="s">
        <v>158</v>
      </c>
      <c r="C48" s="12">
        <v>42</v>
      </c>
      <c r="D48" s="8">
        <v>4.91</v>
      </c>
      <c r="E48" s="12">
        <v>29</v>
      </c>
      <c r="F48" s="8">
        <v>7.07</v>
      </c>
      <c r="G48" s="12">
        <v>13</v>
      </c>
      <c r="H48" s="8">
        <v>2.98</v>
      </c>
      <c r="I48" s="12">
        <v>0</v>
      </c>
    </row>
    <row r="49" spans="2:9" ht="15" customHeight="1" x14ac:dyDescent="0.2">
      <c r="B49" t="s">
        <v>162</v>
      </c>
      <c r="C49" s="12">
        <v>33</v>
      </c>
      <c r="D49" s="8">
        <v>3.86</v>
      </c>
      <c r="E49" s="12">
        <v>32</v>
      </c>
      <c r="F49" s="8">
        <v>7.8</v>
      </c>
      <c r="G49" s="12">
        <v>1</v>
      </c>
      <c r="H49" s="8">
        <v>0.23</v>
      </c>
      <c r="I49" s="12">
        <v>0</v>
      </c>
    </row>
    <row r="50" spans="2:9" ht="15" customHeight="1" x14ac:dyDescent="0.2">
      <c r="B50" t="s">
        <v>163</v>
      </c>
      <c r="C50" s="12">
        <v>27</v>
      </c>
      <c r="D50" s="8">
        <v>3.16</v>
      </c>
      <c r="E50" s="12">
        <v>26</v>
      </c>
      <c r="F50" s="8">
        <v>6.34</v>
      </c>
      <c r="G50" s="12">
        <v>1</v>
      </c>
      <c r="H50" s="8">
        <v>0.23</v>
      </c>
      <c r="I50" s="12">
        <v>0</v>
      </c>
    </row>
    <row r="51" spans="2:9" ht="15" customHeight="1" x14ac:dyDescent="0.2">
      <c r="B51" t="s">
        <v>148</v>
      </c>
      <c r="C51" s="12">
        <v>25</v>
      </c>
      <c r="D51" s="8">
        <v>2.92</v>
      </c>
      <c r="E51" s="12">
        <v>2</v>
      </c>
      <c r="F51" s="8">
        <v>0.49</v>
      </c>
      <c r="G51" s="12">
        <v>23</v>
      </c>
      <c r="H51" s="8">
        <v>5.28</v>
      </c>
      <c r="I51" s="12">
        <v>0</v>
      </c>
    </row>
    <row r="52" spans="2:9" ht="15" customHeight="1" x14ac:dyDescent="0.2">
      <c r="B52" t="s">
        <v>199</v>
      </c>
      <c r="C52" s="12">
        <v>25</v>
      </c>
      <c r="D52" s="8">
        <v>2.92</v>
      </c>
      <c r="E52" s="12">
        <v>19</v>
      </c>
      <c r="F52" s="8">
        <v>4.63</v>
      </c>
      <c r="G52" s="12">
        <v>6</v>
      </c>
      <c r="H52" s="8">
        <v>1.38</v>
      </c>
      <c r="I52" s="12">
        <v>0</v>
      </c>
    </row>
    <row r="53" spans="2:9" ht="15" customHeight="1" x14ac:dyDescent="0.2">
      <c r="B53" t="s">
        <v>166</v>
      </c>
      <c r="C53" s="12">
        <v>25</v>
      </c>
      <c r="D53" s="8">
        <v>2.92</v>
      </c>
      <c r="E53" s="12">
        <v>23</v>
      </c>
      <c r="F53" s="8">
        <v>5.61</v>
      </c>
      <c r="G53" s="12">
        <v>2</v>
      </c>
      <c r="H53" s="8">
        <v>0.46</v>
      </c>
      <c r="I53" s="12">
        <v>0</v>
      </c>
    </row>
    <row r="54" spans="2:9" ht="15" customHeight="1" x14ac:dyDescent="0.2">
      <c r="B54" t="s">
        <v>161</v>
      </c>
      <c r="C54" s="12">
        <v>24</v>
      </c>
      <c r="D54" s="8">
        <v>2.81</v>
      </c>
      <c r="E54" s="12">
        <v>17</v>
      </c>
      <c r="F54" s="8">
        <v>4.1500000000000004</v>
      </c>
      <c r="G54" s="12">
        <v>7</v>
      </c>
      <c r="H54" s="8">
        <v>1.61</v>
      </c>
      <c r="I54" s="12">
        <v>0</v>
      </c>
    </row>
    <row r="55" spans="2:9" ht="15" customHeight="1" x14ac:dyDescent="0.2">
      <c r="B55" t="s">
        <v>153</v>
      </c>
      <c r="C55" s="12">
        <v>20</v>
      </c>
      <c r="D55" s="8">
        <v>2.34</v>
      </c>
      <c r="E55" s="12">
        <v>5</v>
      </c>
      <c r="F55" s="8">
        <v>1.22</v>
      </c>
      <c r="G55" s="12">
        <v>15</v>
      </c>
      <c r="H55" s="8">
        <v>3.44</v>
      </c>
      <c r="I55" s="12">
        <v>0</v>
      </c>
    </row>
    <row r="56" spans="2:9" ht="15" customHeight="1" x14ac:dyDescent="0.2">
      <c r="B56" t="s">
        <v>155</v>
      </c>
      <c r="C56" s="12">
        <v>20</v>
      </c>
      <c r="D56" s="8">
        <v>2.34</v>
      </c>
      <c r="E56" s="12">
        <v>9</v>
      </c>
      <c r="F56" s="8">
        <v>2.2000000000000002</v>
      </c>
      <c r="G56" s="12">
        <v>11</v>
      </c>
      <c r="H56" s="8">
        <v>2.52</v>
      </c>
      <c r="I56" s="12">
        <v>0</v>
      </c>
    </row>
    <row r="57" spans="2:9" ht="15" customHeight="1" x14ac:dyDescent="0.2">
      <c r="B57" t="s">
        <v>165</v>
      </c>
      <c r="C57" s="12">
        <v>17</v>
      </c>
      <c r="D57" s="8">
        <v>1.99</v>
      </c>
      <c r="E57" s="12">
        <v>12</v>
      </c>
      <c r="F57" s="8">
        <v>2.93</v>
      </c>
      <c r="G57" s="12">
        <v>5</v>
      </c>
      <c r="H57" s="8">
        <v>1.1499999999999999</v>
      </c>
      <c r="I57" s="12">
        <v>0</v>
      </c>
    </row>
    <row r="58" spans="2:9" ht="15" customHeight="1" x14ac:dyDescent="0.2">
      <c r="B58" t="s">
        <v>167</v>
      </c>
      <c r="C58" s="12">
        <v>16</v>
      </c>
      <c r="D58" s="8">
        <v>1.87</v>
      </c>
      <c r="E58" s="12">
        <v>7</v>
      </c>
      <c r="F58" s="8">
        <v>1.71</v>
      </c>
      <c r="G58" s="12">
        <v>9</v>
      </c>
      <c r="H58" s="8">
        <v>2.06</v>
      </c>
      <c r="I58" s="12">
        <v>0</v>
      </c>
    </row>
    <row r="59" spans="2:9" ht="15" customHeight="1" x14ac:dyDescent="0.2">
      <c r="B59" t="s">
        <v>149</v>
      </c>
      <c r="C59" s="12">
        <v>15</v>
      </c>
      <c r="D59" s="8">
        <v>1.75</v>
      </c>
      <c r="E59" s="12">
        <v>2</v>
      </c>
      <c r="F59" s="8">
        <v>0.49</v>
      </c>
      <c r="G59" s="12">
        <v>13</v>
      </c>
      <c r="H59" s="8">
        <v>2.98</v>
      </c>
      <c r="I59" s="12">
        <v>0</v>
      </c>
    </row>
    <row r="60" spans="2:9" ht="15" customHeight="1" x14ac:dyDescent="0.2">
      <c r="B60" t="s">
        <v>152</v>
      </c>
      <c r="C60" s="12">
        <v>15</v>
      </c>
      <c r="D60" s="8">
        <v>1.75</v>
      </c>
      <c r="E60" s="12">
        <v>2</v>
      </c>
      <c r="F60" s="8">
        <v>0.49</v>
      </c>
      <c r="G60" s="12">
        <v>13</v>
      </c>
      <c r="H60" s="8">
        <v>2.98</v>
      </c>
      <c r="I60" s="12">
        <v>0</v>
      </c>
    </row>
    <row r="61" spans="2:9" ht="15" customHeight="1" x14ac:dyDescent="0.2">
      <c r="B61" t="s">
        <v>150</v>
      </c>
      <c r="C61" s="12">
        <v>14</v>
      </c>
      <c r="D61" s="8">
        <v>1.64</v>
      </c>
      <c r="E61" s="12">
        <v>8</v>
      </c>
      <c r="F61" s="8">
        <v>1.95</v>
      </c>
      <c r="G61" s="12">
        <v>6</v>
      </c>
      <c r="H61" s="8">
        <v>1.38</v>
      </c>
      <c r="I61" s="12">
        <v>0</v>
      </c>
    </row>
    <row r="62" spans="2:9" ht="15" customHeight="1" x14ac:dyDescent="0.2">
      <c r="B62" t="s">
        <v>168</v>
      </c>
      <c r="C62" s="12">
        <v>13</v>
      </c>
      <c r="D62" s="8">
        <v>1.52</v>
      </c>
      <c r="E62" s="12">
        <v>1</v>
      </c>
      <c r="F62" s="8">
        <v>0.24</v>
      </c>
      <c r="G62" s="12">
        <v>12</v>
      </c>
      <c r="H62" s="8">
        <v>2.75</v>
      </c>
      <c r="I62" s="12">
        <v>0</v>
      </c>
    </row>
    <row r="63" spans="2:9" ht="15" customHeight="1" x14ac:dyDescent="0.2">
      <c r="B63" t="s">
        <v>154</v>
      </c>
      <c r="C63" s="12">
        <v>12</v>
      </c>
      <c r="D63" s="8">
        <v>1.4</v>
      </c>
      <c r="E63" s="12">
        <v>9</v>
      </c>
      <c r="F63" s="8">
        <v>2.2000000000000002</v>
      </c>
      <c r="G63" s="12">
        <v>3</v>
      </c>
      <c r="H63" s="8">
        <v>0.69</v>
      </c>
      <c r="I63" s="12">
        <v>0</v>
      </c>
    </row>
    <row r="64" spans="2:9" ht="15" customHeight="1" x14ac:dyDescent="0.2">
      <c r="B64" t="s">
        <v>210</v>
      </c>
      <c r="C64" s="12">
        <v>12</v>
      </c>
      <c r="D64" s="8">
        <v>1.4</v>
      </c>
      <c r="E64" s="12">
        <v>1</v>
      </c>
      <c r="F64" s="8">
        <v>0.24</v>
      </c>
      <c r="G64" s="12">
        <v>11</v>
      </c>
      <c r="H64" s="8">
        <v>2.52</v>
      </c>
      <c r="I64" s="12">
        <v>0</v>
      </c>
    </row>
    <row r="65" spans="2:9" ht="15" customHeight="1" x14ac:dyDescent="0.2">
      <c r="B65" t="s">
        <v>171</v>
      </c>
      <c r="C65" s="12">
        <v>12</v>
      </c>
      <c r="D65" s="8">
        <v>1.4</v>
      </c>
      <c r="E65" s="12">
        <v>0</v>
      </c>
      <c r="F65" s="8">
        <v>0</v>
      </c>
      <c r="G65" s="12">
        <v>12</v>
      </c>
      <c r="H65" s="8">
        <v>2.75</v>
      </c>
      <c r="I65" s="12">
        <v>0</v>
      </c>
    </row>
    <row r="66" spans="2:9" ht="15" customHeight="1" x14ac:dyDescent="0.2">
      <c r="B66" t="s">
        <v>178</v>
      </c>
      <c r="C66" s="12">
        <v>11</v>
      </c>
      <c r="D66" s="8">
        <v>1.29</v>
      </c>
      <c r="E66" s="12">
        <v>2</v>
      </c>
      <c r="F66" s="8">
        <v>0.49</v>
      </c>
      <c r="G66" s="12">
        <v>9</v>
      </c>
      <c r="H66" s="8">
        <v>2.06</v>
      </c>
      <c r="I66" s="12">
        <v>0</v>
      </c>
    </row>
    <row r="67" spans="2:9" ht="15" customHeight="1" x14ac:dyDescent="0.2">
      <c r="B67" t="s">
        <v>173</v>
      </c>
      <c r="C67" s="12">
        <v>11</v>
      </c>
      <c r="D67" s="8">
        <v>1.29</v>
      </c>
      <c r="E67" s="12">
        <v>7</v>
      </c>
      <c r="F67" s="8">
        <v>1.71</v>
      </c>
      <c r="G67" s="12">
        <v>4</v>
      </c>
      <c r="H67" s="8">
        <v>0.92</v>
      </c>
      <c r="I67" s="12">
        <v>0</v>
      </c>
    </row>
    <row r="68" spans="2:9" ht="15" customHeight="1" x14ac:dyDescent="0.2">
      <c r="B68" t="s">
        <v>179</v>
      </c>
      <c r="C68" s="12">
        <v>11</v>
      </c>
      <c r="D68" s="8">
        <v>1.29</v>
      </c>
      <c r="E68" s="12">
        <v>2</v>
      </c>
      <c r="F68" s="8">
        <v>0.49</v>
      </c>
      <c r="G68" s="12">
        <v>9</v>
      </c>
      <c r="H68" s="8">
        <v>2.06</v>
      </c>
      <c r="I68" s="12">
        <v>0</v>
      </c>
    </row>
    <row r="70" spans="2:9" ht="15" customHeight="1" x14ac:dyDescent="0.2">
      <c r="B70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737D2-CF05-4060-B43C-26F3E6E98781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295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40</v>
      </c>
      <c r="D6" s="8">
        <v>9.93</v>
      </c>
      <c r="E6" s="12">
        <v>6</v>
      </c>
      <c r="F6" s="8">
        <v>3.49</v>
      </c>
      <c r="G6" s="12">
        <v>34</v>
      </c>
      <c r="H6" s="8">
        <v>15.04</v>
      </c>
      <c r="I6" s="12">
        <v>0</v>
      </c>
    </row>
    <row r="7" spans="2:9" ht="15" customHeight="1" x14ac:dyDescent="0.2">
      <c r="B7" t="s">
        <v>63</v>
      </c>
      <c r="C7" s="12">
        <v>14</v>
      </c>
      <c r="D7" s="8">
        <v>3.47</v>
      </c>
      <c r="E7" s="12">
        <v>2</v>
      </c>
      <c r="F7" s="8">
        <v>1.1599999999999999</v>
      </c>
      <c r="G7" s="12">
        <v>12</v>
      </c>
      <c r="H7" s="8">
        <v>5.31</v>
      </c>
      <c r="I7" s="12">
        <v>0</v>
      </c>
    </row>
    <row r="8" spans="2:9" ht="15" customHeight="1" x14ac:dyDescent="0.2">
      <c r="B8" t="s">
        <v>64</v>
      </c>
      <c r="C8" s="12">
        <v>1</v>
      </c>
      <c r="D8" s="8">
        <v>0.25</v>
      </c>
      <c r="E8" s="12">
        <v>0</v>
      </c>
      <c r="F8" s="8">
        <v>0</v>
      </c>
      <c r="G8" s="12">
        <v>1</v>
      </c>
      <c r="H8" s="8">
        <v>0.44</v>
      </c>
      <c r="I8" s="12">
        <v>0</v>
      </c>
    </row>
    <row r="9" spans="2:9" ht="15" customHeight="1" x14ac:dyDescent="0.2">
      <c r="B9" t="s">
        <v>65</v>
      </c>
      <c r="C9" s="12">
        <v>3</v>
      </c>
      <c r="D9" s="8">
        <v>0.74</v>
      </c>
      <c r="E9" s="12">
        <v>1</v>
      </c>
      <c r="F9" s="8">
        <v>0.57999999999999996</v>
      </c>
      <c r="G9" s="12">
        <v>2</v>
      </c>
      <c r="H9" s="8">
        <v>0.88</v>
      </c>
      <c r="I9" s="12">
        <v>0</v>
      </c>
    </row>
    <row r="10" spans="2:9" ht="15" customHeight="1" x14ac:dyDescent="0.2">
      <c r="B10" t="s">
        <v>66</v>
      </c>
      <c r="C10" s="12">
        <v>7</v>
      </c>
      <c r="D10" s="8">
        <v>1.74</v>
      </c>
      <c r="E10" s="12">
        <v>0</v>
      </c>
      <c r="F10" s="8">
        <v>0</v>
      </c>
      <c r="G10" s="12">
        <v>6</v>
      </c>
      <c r="H10" s="8">
        <v>2.65</v>
      </c>
      <c r="I10" s="12">
        <v>0</v>
      </c>
    </row>
    <row r="11" spans="2:9" ht="15" customHeight="1" x14ac:dyDescent="0.2">
      <c r="B11" t="s">
        <v>67</v>
      </c>
      <c r="C11" s="12">
        <v>132</v>
      </c>
      <c r="D11" s="8">
        <v>32.75</v>
      </c>
      <c r="E11" s="12">
        <v>30</v>
      </c>
      <c r="F11" s="8">
        <v>17.440000000000001</v>
      </c>
      <c r="G11" s="12">
        <v>102</v>
      </c>
      <c r="H11" s="8">
        <v>45.13</v>
      </c>
      <c r="I11" s="12">
        <v>0</v>
      </c>
    </row>
    <row r="12" spans="2:9" ht="15" customHeight="1" x14ac:dyDescent="0.2">
      <c r="B12" t="s">
        <v>68</v>
      </c>
      <c r="C12" s="12">
        <v>2</v>
      </c>
      <c r="D12" s="8">
        <v>0.5</v>
      </c>
      <c r="E12" s="12">
        <v>1</v>
      </c>
      <c r="F12" s="8">
        <v>0.57999999999999996</v>
      </c>
      <c r="G12" s="12">
        <v>1</v>
      </c>
      <c r="H12" s="8">
        <v>0.44</v>
      </c>
      <c r="I12" s="12">
        <v>0</v>
      </c>
    </row>
    <row r="13" spans="2:9" ht="15" customHeight="1" x14ac:dyDescent="0.2">
      <c r="B13" t="s">
        <v>69</v>
      </c>
      <c r="C13" s="12">
        <v>43</v>
      </c>
      <c r="D13" s="8">
        <v>10.67</v>
      </c>
      <c r="E13" s="12">
        <v>21</v>
      </c>
      <c r="F13" s="8">
        <v>12.21</v>
      </c>
      <c r="G13" s="12">
        <v>22</v>
      </c>
      <c r="H13" s="8">
        <v>9.73</v>
      </c>
      <c r="I13" s="12">
        <v>0</v>
      </c>
    </row>
    <row r="14" spans="2:9" ht="15" customHeight="1" x14ac:dyDescent="0.2">
      <c r="B14" t="s">
        <v>70</v>
      </c>
      <c r="C14" s="12">
        <v>20</v>
      </c>
      <c r="D14" s="8">
        <v>4.96</v>
      </c>
      <c r="E14" s="12">
        <v>8</v>
      </c>
      <c r="F14" s="8">
        <v>4.6500000000000004</v>
      </c>
      <c r="G14" s="12">
        <v>10</v>
      </c>
      <c r="H14" s="8">
        <v>4.42</v>
      </c>
      <c r="I14" s="12">
        <v>0</v>
      </c>
    </row>
    <row r="15" spans="2:9" ht="15" customHeight="1" x14ac:dyDescent="0.2">
      <c r="B15" t="s">
        <v>71</v>
      </c>
      <c r="C15" s="12">
        <v>43</v>
      </c>
      <c r="D15" s="8">
        <v>10.67</v>
      </c>
      <c r="E15" s="12">
        <v>34</v>
      </c>
      <c r="F15" s="8">
        <v>19.77</v>
      </c>
      <c r="G15" s="12">
        <v>8</v>
      </c>
      <c r="H15" s="8">
        <v>3.54</v>
      </c>
      <c r="I15" s="12">
        <v>0</v>
      </c>
    </row>
    <row r="16" spans="2:9" ht="15" customHeight="1" x14ac:dyDescent="0.2">
      <c r="B16" t="s">
        <v>72</v>
      </c>
      <c r="C16" s="12">
        <v>51</v>
      </c>
      <c r="D16" s="8">
        <v>12.66</v>
      </c>
      <c r="E16" s="12">
        <v>40</v>
      </c>
      <c r="F16" s="8">
        <v>23.26</v>
      </c>
      <c r="G16" s="12">
        <v>11</v>
      </c>
      <c r="H16" s="8">
        <v>4.87</v>
      </c>
      <c r="I16" s="12">
        <v>0</v>
      </c>
    </row>
    <row r="17" spans="2:9" ht="15" customHeight="1" x14ac:dyDescent="0.2">
      <c r="B17" t="s">
        <v>73</v>
      </c>
      <c r="C17" s="12">
        <v>12</v>
      </c>
      <c r="D17" s="8">
        <v>2.98</v>
      </c>
      <c r="E17" s="12">
        <v>12</v>
      </c>
      <c r="F17" s="8">
        <v>6.98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74</v>
      </c>
      <c r="C18" s="12">
        <v>22</v>
      </c>
      <c r="D18" s="8">
        <v>5.46</v>
      </c>
      <c r="E18" s="12">
        <v>14</v>
      </c>
      <c r="F18" s="8">
        <v>8.14</v>
      </c>
      <c r="G18" s="12">
        <v>7</v>
      </c>
      <c r="H18" s="8">
        <v>3.1</v>
      </c>
      <c r="I18" s="12">
        <v>0</v>
      </c>
    </row>
    <row r="19" spans="2:9" ht="15" customHeight="1" x14ac:dyDescent="0.2">
      <c r="B19" t="s">
        <v>75</v>
      </c>
      <c r="C19" s="12">
        <v>13</v>
      </c>
      <c r="D19" s="8">
        <v>3.23</v>
      </c>
      <c r="E19" s="12">
        <v>3</v>
      </c>
      <c r="F19" s="8">
        <v>1.74</v>
      </c>
      <c r="G19" s="12">
        <v>10</v>
      </c>
      <c r="H19" s="8">
        <v>4.42</v>
      </c>
      <c r="I19" s="12">
        <v>0</v>
      </c>
    </row>
    <row r="20" spans="2:9" ht="15" customHeight="1" x14ac:dyDescent="0.2">
      <c r="B20" s="9" t="s">
        <v>248</v>
      </c>
      <c r="C20" s="12">
        <f>SUM(LTBL_12322[総数／事業所数])</f>
        <v>403</v>
      </c>
      <c r="E20" s="12">
        <f>SUBTOTAL(109,LTBL_12322[個人／事業所数])</f>
        <v>172</v>
      </c>
      <c r="G20" s="12">
        <f>SUBTOTAL(109,LTBL_12322[法人／事業所数])</f>
        <v>226</v>
      </c>
      <c r="I20" s="12">
        <f>SUBTOTAL(109,LTBL_12322[法人以外の団体／事業所数])</f>
        <v>0</v>
      </c>
    </row>
    <row r="21" spans="2:9" ht="15" customHeight="1" x14ac:dyDescent="0.2">
      <c r="E21" s="11">
        <f>LTBL_12322[[#Totals],[個人／事業所数]]/LTBL_12322[[#Totals],[総数／事業所数]]</f>
        <v>0.42679900744416871</v>
      </c>
      <c r="G21" s="11">
        <f>LTBL_12322[[#Totals],[法人／事業所数]]/LTBL_12322[[#Totals],[総数／事業所数]]</f>
        <v>0.56079404466501237</v>
      </c>
      <c r="I21" s="11">
        <f>LTBL_12322[[#Totals],[法人以外の団体／事業所数]]/LTBL_12322[[#Totals],[総数／事業所数]]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89</v>
      </c>
      <c r="C24" s="12">
        <v>43</v>
      </c>
      <c r="D24" s="8">
        <v>10.67</v>
      </c>
      <c r="E24" s="12">
        <v>4</v>
      </c>
      <c r="F24" s="8">
        <v>2.33</v>
      </c>
      <c r="G24" s="12">
        <v>39</v>
      </c>
      <c r="H24" s="8">
        <v>17.260000000000002</v>
      </c>
      <c r="I24" s="12">
        <v>0</v>
      </c>
    </row>
    <row r="25" spans="2:9" ht="15" customHeight="1" x14ac:dyDescent="0.2">
      <c r="B25" t="s">
        <v>98</v>
      </c>
      <c r="C25" s="12">
        <v>43</v>
      </c>
      <c r="D25" s="8">
        <v>10.67</v>
      </c>
      <c r="E25" s="12">
        <v>37</v>
      </c>
      <c r="F25" s="8">
        <v>21.51</v>
      </c>
      <c r="G25" s="12">
        <v>6</v>
      </c>
      <c r="H25" s="8">
        <v>2.65</v>
      </c>
      <c r="I25" s="12">
        <v>0</v>
      </c>
    </row>
    <row r="26" spans="2:9" ht="15" customHeight="1" x14ac:dyDescent="0.2">
      <c r="B26" t="s">
        <v>92</v>
      </c>
      <c r="C26" s="12">
        <v>40</v>
      </c>
      <c r="D26" s="8">
        <v>9.93</v>
      </c>
      <c r="E26" s="12">
        <v>11</v>
      </c>
      <c r="F26" s="8">
        <v>6.4</v>
      </c>
      <c r="G26" s="12">
        <v>29</v>
      </c>
      <c r="H26" s="8">
        <v>12.83</v>
      </c>
      <c r="I26" s="12">
        <v>0</v>
      </c>
    </row>
    <row r="27" spans="2:9" ht="15" customHeight="1" x14ac:dyDescent="0.2">
      <c r="B27" t="s">
        <v>94</v>
      </c>
      <c r="C27" s="12">
        <v>36</v>
      </c>
      <c r="D27" s="8">
        <v>8.93</v>
      </c>
      <c r="E27" s="12">
        <v>20</v>
      </c>
      <c r="F27" s="8">
        <v>11.63</v>
      </c>
      <c r="G27" s="12">
        <v>16</v>
      </c>
      <c r="H27" s="8">
        <v>7.08</v>
      </c>
      <c r="I27" s="12">
        <v>0</v>
      </c>
    </row>
    <row r="28" spans="2:9" ht="15" customHeight="1" x14ac:dyDescent="0.2">
      <c r="B28" t="s">
        <v>97</v>
      </c>
      <c r="C28" s="12">
        <v>36</v>
      </c>
      <c r="D28" s="8">
        <v>8.93</v>
      </c>
      <c r="E28" s="12">
        <v>31</v>
      </c>
      <c r="F28" s="8">
        <v>18.02</v>
      </c>
      <c r="G28" s="12">
        <v>5</v>
      </c>
      <c r="H28" s="8">
        <v>2.21</v>
      </c>
      <c r="I28" s="12">
        <v>0</v>
      </c>
    </row>
    <row r="29" spans="2:9" ht="15" customHeight="1" x14ac:dyDescent="0.2">
      <c r="B29" t="s">
        <v>91</v>
      </c>
      <c r="C29" s="12">
        <v>21</v>
      </c>
      <c r="D29" s="8">
        <v>5.21</v>
      </c>
      <c r="E29" s="12">
        <v>8</v>
      </c>
      <c r="F29" s="8">
        <v>4.6500000000000004</v>
      </c>
      <c r="G29" s="12">
        <v>13</v>
      </c>
      <c r="H29" s="8">
        <v>5.75</v>
      </c>
      <c r="I29" s="12">
        <v>0</v>
      </c>
    </row>
    <row r="30" spans="2:9" ht="15" customHeight="1" x14ac:dyDescent="0.2">
      <c r="B30" t="s">
        <v>84</v>
      </c>
      <c r="C30" s="12">
        <v>17</v>
      </c>
      <c r="D30" s="8">
        <v>4.22</v>
      </c>
      <c r="E30" s="12">
        <v>0</v>
      </c>
      <c r="F30" s="8">
        <v>0</v>
      </c>
      <c r="G30" s="12">
        <v>17</v>
      </c>
      <c r="H30" s="8">
        <v>7.52</v>
      </c>
      <c r="I30" s="12">
        <v>0</v>
      </c>
    </row>
    <row r="31" spans="2:9" ht="15" customHeight="1" x14ac:dyDescent="0.2">
      <c r="B31" t="s">
        <v>85</v>
      </c>
      <c r="C31" s="12">
        <v>15</v>
      </c>
      <c r="D31" s="8">
        <v>3.72</v>
      </c>
      <c r="E31" s="12">
        <v>6</v>
      </c>
      <c r="F31" s="8">
        <v>3.49</v>
      </c>
      <c r="G31" s="12">
        <v>9</v>
      </c>
      <c r="H31" s="8">
        <v>3.98</v>
      </c>
      <c r="I31" s="12">
        <v>0</v>
      </c>
    </row>
    <row r="32" spans="2:9" ht="15" customHeight="1" x14ac:dyDescent="0.2">
      <c r="B32" t="s">
        <v>101</v>
      </c>
      <c r="C32" s="12">
        <v>14</v>
      </c>
      <c r="D32" s="8">
        <v>3.47</v>
      </c>
      <c r="E32" s="12">
        <v>14</v>
      </c>
      <c r="F32" s="8">
        <v>8.14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100</v>
      </c>
      <c r="C33" s="12">
        <v>12</v>
      </c>
      <c r="D33" s="8">
        <v>2.98</v>
      </c>
      <c r="E33" s="12">
        <v>12</v>
      </c>
      <c r="F33" s="8">
        <v>6.98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90</v>
      </c>
      <c r="C34" s="12">
        <v>10</v>
      </c>
      <c r="D34" s="8">
        <v>2.48</v>
      </c>
      <c r="E34" s="12">
        <v>6</v>
      </c>
      <c r="F34" s="8">
        <v>3.49</v>
      </c>
      <c r="G34" s="12">
        <v>4</v>
      </c>
      <c r="H34" s="8">
        <v>1.77</v>
      </c>
      <c r="I34" s="12">
        <v>0</v>
      </c>
    </row>
    <row r="35" spans="2:9" ht="15" customHeight="1" x14ac:dyDescent="0.2">
      <c r="B35" t="s">
        <v>96</v>
      </c>
      <c r="C35" s="12">
        <v>10</v>
      </c>
      <c r="D35" s="8">
        <v>2.48</v>
      </c>
      <c r="E35" s="12">
        <v>3</v>
      </c>
      <c r="F35" s="8">
        <v>1.74</v>
      </c>
      <c r="G35" s="12">
        <v>6</v>
      </c>
      <c r="H35" s="8">
        <v>2.65</v>
      </c>
      <c r="I35" s="12">
        <v>0</v>
      </c>
    </row>
    <row r="36" spans="2:9" ht="15" customHeight="1" x14ac:dyDescent="0.2">
      <c r="B36" t="s">
        <v>95</v>
      </c>
      <c r="C36" s="12">
        <v>9</v>
      </c>
      <c r="D36" s="8">
        <v>2.23</v>
      </c>
      <c r="E36" s="12">
        <v>5</v>
      </c>
      <c r="F36" s="8">
        <v>2.91</v>
      </c>
      <c r="G36" s="12">
        <v>4</v>
      </c>
      <c r="H36" s="8">
        <v>1.77</v>
      </c>
      <c r="I36" s="12">
        <v>0</v>
      </c>
    </row>
    <row r="37" spans="2:9" ht="15" customHeight="1" x14ac:dyDescent="0.2">
      <c r="B37" t="s">
        <v>86</v>
      </c>
      <c r="C37" s="12">
        <v>8</v>
      </c>
      <c r="D37" s="8">
        <v>1.99</v>
      </c>
      <c r="E37" s="12">
        <v>0</v>
      </c>
      <c r="F37" s="8">
        <v>0</v>
      </c>
      <c r="G37" s="12">
        <v>8</v>
      </c>
      <c r="H37" s="8">
        <v>3.54</v>
      </c>
      <c r="I37" s="12">
        <v>0</v>
      </c>
    </row>
    <row r="38" spans="2:9" ht="15" customHeight="1" x14ac:dyDescent="0.2">
      <c r="B38" t="s">
        <v>88</v>
      </c>
      <c r="C38" s="12">
        <v>8</v>
      </c>
      <c r="D38" s="8">
        <v>1.99</v>
      </c>
      <c r="E38" s="12">
        <v>1</v>
      </c>
      <c r="F38" s="8">
        <v>0.57999999999999996</v>
      </c>
      <c r="G38" s="12">
        <v>7</v>
      </c>
      <c r="H38" s="8">
        <v>3.1</v>
      </c>
      <c r="I38" s="12">
        <v>0</v>
      </c>
    </row>
    <row r="39" spans="2:9" ht="15" customHeight="1" x14ac:dyDescent="0.2">
      <c r="B39" t="s">
        <v>99</v>
      </c>
      <c r="C39" s="12">
        <v>8</v>
      </c>
      <c r="D39" s="8">
        <v>1.99</v>
      </c>
      <c r="E39" s="12">
        <v>3</v>
      </c>
      <c r="F39" s="8">
        <v>1.74</v>
      </c>
      <c r="G39" s="12">
        <v>5</v>
      </c>
      <c r="H39" s="8">
        <v>2.21</v>
      </c>
      <c r="I39" s="12">
        <v>0</v>
      </c>
    </row>
    <row r="40" spans="2:9" ht="15" customHeight="1" x14ac:dyDescent="0.2">
      <c r="B40" t="s">
        <v>102</v>
      </c>
      <c r="C40" s="12">
        <v>8</v>
      </c>
      <c r="D40" s="8">
        <v>1.99</v>
      </c>
      <c r="E40" s="12">
        <v>0</v>
      </c>
      <c r="F40" s="8">
        <v>0</v>
      </c>
      <c r="G40" s="12">
        <v>7</v>
      </c>
      <c r="H40" s="8">
        <v>3.1</v>
      </c>
      <c r="I40" s="12">
        <v>0</v>
      </c>
    </row>
    <row r="41" spans="2:9" ht="15" customHeight="1" x14ac:dyDescent="0.2">
      <c r="B41" t="s">
        <v>93</v>
      </c>
      <c r="C41" s="12">
        <v>7</v>
      </c>
      <c r="D41" s="8">
        <v>1.74</v>
      </c>
      <c r="E41" s="12">
        <v>1</v>
      </c>
      <c r="F41" s="8">
        <v>0.57999999999999996</v>
      </c>
      <c r="G41" s="12">
        <v>6</v>
      </c>
      <c r="H41" s="8">
        <v>2.65</v>
      </c>
      <c r="I41" s="12">
        <v>0</v>
      </c>
    </row>
    <row r="42" spans="2:9" ht="15" customHeight="1" x14ac:dyDescent="0.2">
      <c r="B42" t="s">
        <v>107</v>
      </c>
      <c r="C42" s="12">
        <v>5</v>
      </c>
      <c r="D42" s="8">
        <v>1.24</v>
      </c>
      <c r="E42" s="12">
        <v>3</v>
      </c>
      <c r="F42" s="8">
        <v>1.74</v>
      </c>
      <c r="G42" s="12">
        <v>1</v>
      </c>
      <c r="H42" s="8">
        <v>0.44</v>
      </c>
      <c r="I42" s="12">
        <v>0</v>
      </c>
    </row>
    <row r="43" spans="2:9" ht="15" customHeight="1" x14ac:dyDescent="0.2">
      <c r="B43" t="s">
        <v>103</v>
      </c>
      <c r="C43" s="12">
        <v>5</v>
      </c>
      <c r="D43" s="8">
        <v>1.24</v>
      </c>
      <c r="E43" s="12">
        <v>3</v>
      </c>
      <c r="F43" s="8">
        <v>1.74</v>
      </c>
      <c r="G43" s="12">
        <v>2</v>
      </c>
      <c r="H43" s="8">
        <v>0.88</v>
      </c>
      <c r="I43" s="12">
        <v>0</v>
      </c>
    </row>
    <row r="44" spans="2:9" ht="15" customHeight="1" x14ac:dyDescent="0.2">
      <c r="B44" t="s">
        <v>105</v>
      </c>
      <c r="C44" s="12">
        <v>5</v>
      </c>
      <c r="D44" s="8">
        <v>1.24</v>
      </c>
      <c r="E44" s="12">
        <v>0</v>
      </c>
      <c r="F44" s="8">
        <v>0</v>
      </c>
      <c r="G44" s="12">
        <v>5</v>
      </c>
      <c r="H44" s="8">
        <v>2.21</v>
      </c>
      <c r="I44" s="12">
        <v>0</v>
      </c>
    </row>
    <row r="47" spans="2:9" ht="33" customHeight="1" x14ac:dyDescent="0.2">
      <c r="B47" t="s">
        <v>250</v>
      </c>
      <c r="C47" s="10" t="s">
        <v>77</v>
      </c>
      <c r="D47" s="10" t="s">
        <v>78</v>
      </c>
      <c r="E47" s="10" t="s">
        <v>79</v>
      </c>
      <c r="F47" s="10" t="s">
        <v>80</v>
      </c>
      <c r="G47" s="10" t="s">
        <v>81</v>
      </c>
      <c r="H47" s="10" t="s">
        <v>82</v>
      </c>
      <c r="I47" s="10" t="s">
        <v>83</v>
      </c>
    </row>
    <row r="48" spans="2:9" ht="15" customHeight="1" x14ac:dyDescent="0.2">
      <c r="B48" t="s">
        <v>163</v>
      </c>
      <c r="C48" s="12">
        <v>20</v>
      </c>
      <c r="D48" s="8">
        <v>4.96</v>
      </c>
      <c r="E48" s="12">
        <v>18</v>
      </c>
      <c r="F48" s="8">
        <v>10.47</v>
      </c>
      <c r="G48" s="12">
        <v>2</v>
      </c>
      <c r="H48" s="8">
        <v>0.88</v>
      </c>
      <c r="I48" s="12">
        <v>0</v>
      </c>
    </row>
    <row r="49" spans="2:9" ht="15" customHeight="1" x14ac:dyDescent="0.2">
      <c r="B49" t="s">
        <v>158</v>
      </c>
      <c r="C49" s="12">
        <v>18</v>
      </c>
      <c r="D49" s="8">
        <v>4.47</v>
      </c>
      <c r="E49" s="12">
        <v>10</v>
      </c>
      <c r="F49" s="8">
        <v>5.81</v>
      </c>
      <c r="G49" s="12">
        <v>8</v>
      </c>
      <c r="H49" s="8">
        <v>3.54</v>
      </c>
      <c r="I49" s="12">
        <v>0</v>
      </c>
    </row>
    <row r="50" spans="2:9" ht="15" customHeight="1" x14ac:dyDescent="0.2">
      <c r="B50" t="s">
        <v>177</v>
      </c>
      <c r="C50" s="12">
        <v>15</v>
      </c>
      <c r="D50" s="8">
        <v>3.72</v>
      </c>
      <c r="E50" s="12">
        <v>2</v>
      </c>
      <c r="F50" s="8">
        <v>1.1599999999999999</v>
      </c>
      <c r="G50" s="12">
        <v>13</v>
      </c>
      <c r="H50" s="8">
        <v>5.75</v>
      </c>
      <c r="I50" s="12">
        <v>0</v>
      </c>
    </row>
    <row r="51" spans="2:9" ht="15" customHeight="1" x14ac:dyDescent="0.2">
      <c r="B51" t="s">
        <v>161</v>
      </c>
      <c r="C51" s="12">
        <v>15</v>
      </c>
      <c r="D51" s="8">
        <v>3.72</v>
      </c>
      <c r="E51" s="12">
        <v>12</v>
      </c>
      <c r="F51" s="8">
        <v>6.98</v>
      </c>
      <c r="G51" s="12">
        <v>3</v>
      </c>
      <c r="H51" s="8">
        <v>1.33</v>
      </c>
      <c r="I51" s="12">
        <v>0</v>
      </c>
    </row>
    <row r="52" spans="2:9" ht="15" customHeight="1" x14ac:dyDescent="0.2">
      <c r="B52" t="s">
        <v>164</v>
      </c>
      <c r="C52" s="12">
        <v>15</v>
      </c>
      <c r="D52" s="8">
        <v>3.72</v>
      </c>
      <c r="E52" s="12">
        <v>15</v>
      </c>
      <c r="F52" s="8">
        <v>8.7200000000000006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155</v>
      </c>
      <c r="C53" s="12">
        <v>13</v>
      </c>
      <c r="D53" s="8">
        <v>3.23</v>
      </c>
      <c r="E53" s="12">
        <v>3</v>
      </c>
      <c r="F53" s="8">
        <v>1.74</v>
      </c>
      <c r="G53" s="12">
        <v>10</v>
      </c>
      <c r="H53" s="8">
        <v>4.42</v>
      </c>
      <c r="I53" s="12">
        <v>0</v>
      </c>
    </row>
    <row r="54" spans="2:9" ht="15" customHeight="1" x14ac:dyDescent="0.2">
      <c r="B54" t="s">
        <v>185</v>
      </c>
      <c r="C54" s="12">
        <v>12</v>
      </c>
      <c r="D54" s="8">
        <v>2.98</v>
      </c>
      <c r="E54" s="12">
        <v>1</v>
      </c>
      <c r="F54" s="8">
        <v>0.57999999999999996</v>
      </c>
      <c r="G54" s="12">
        <v>11</v>
      </c>
      <c r="H54" s="8">
        <v>4.87</v>
      </c>
      <c r="I54" s="12">
        <v>0</v>
      </c>
    </row>
    <row r="55" spans="2:9" ht="15" customHeight="1" x14ac:dyDescent="0.2">
      <c r="B55" t="s">
        <v>211</v>
      </c>
      <c r="C55" s="12">
        <v>11</v>
      </c>
      <c r="D55" s="8">
        <v>2.73</v>
      </c>
      <c r="E55" s="12">
        <v>1</v>
      </c>
      <c r="F55" s="8">
        <v>0.57999999999999996</v>
      </c>
      <c r="G55" s="12">
        <v>10</v>
      </c>
      <c r="H55" s="8">
        <v>4.42</v>
      </c>
      <c r="I55" s="12">
        <v>0</v>
      </c>
    </row>
    <row r="56" spans="2:9" ht="15" customHeight="1" x14ac:dyDescent="0.2">
      <c r="B56" t="s">
        <v>199</v>
      </c>
      <c r="C56" s="12">
        <v>11</v>
      </c>
      <c r="D56" s="8">
        <v>2.73</v>
      </c>
      <c r="E56" s="12">
        <v>10</v>
      </c>
      <c r="F56" s="8">
        <v>5.81</v>
      </c>
      <c r="G56" s="12">
        <v>1</v>
      </c>
      <c r="H56" s="8">
        <v>0.44</v>
      </c>
      <c r="I56" s="12">
        <v>0</v>
      </c>
    </row>
    <row r="57" spans="2:9" ht="15" customHeight="1" x14ac:dyDescent="0.2">
      <c r="B57" t="s">
        <v>202</v>
      </c>
      <c r="C57" s="12">
        <v>10</v>
      </c>
      <c r="D57" s="8">
        <v>2.48</v>
      </c>
      <c r="E57" s="12">
        <v>3</v>
      </c>
      <c r="F57" s="8">
        <v>1.74</v>
      </c>
      <c r="G57" s="12">
        <v>7</v>
      </c>
      <c r="H57" s="8">
        <v>3.1</v>
      </c>
      <c r="I57" s="12">
        <v>0</v>
      </c>
    </row>
    <row r="58" spans="2:9" ht="15" customHeight="1" x14ac:dyDescent="0.2">
      <c r="B58" t="s">
        <v>162</v>
      </c>
      <c r="C58" s="12">
        <v>9</v>
      </c>
      <c r="D58" s="8">
        <v>2.23</v>
      </c>
      <c r="E58" s="12">
        <v>9</v>
      </c>
      <c r="F58" s="8">
        <v>5.23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166</v>
      </c>
      <c r="C59" s="12">
        <v>9</v>
      </c>
      <c r="D59" s="8">
        <v>2.23</v>
      </c>
      <c r="E59" s="12">
        <v>9</v>
      </c>
      <c r="F59" s="8">
        <v>5.23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156</v>
      </c>
      <c r="C60" s="12">
        <v>8</v>
      </c>
      <c r="D60" s="8">
        <v>1.99</v>
      </c>
      <c r="E60" s="12">
        <v>4</v>
      </c>
      <c r="F60" s="8">
        <v>2.33</v>
      </c>
      <c r="G60" s="12">
        <v>4</v>
      </c>
      <c r="H60" s="8">
        <v>1.77</v>
      </c>
      <c r="I60" s="12">
        <v>0</v>
      </c>
    </row>
    <row r="61" spans="2:9" ht="15" customHeight="1" x14ac:dyDescent="0.2">
      <c r="B61" t="s">
        <v>165</v>
      </c>
      <c r="C61" s="12">
        <v>7</v>
      </c>
      <c r="D61" s="8">
        <v>1.74</v>
      </c>
      <c r="E61" s="12">
        <v>7</v>
      </c>
      <c r="F61" s="8">
        <v>4.07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150</v>
      </c>
      <c r="C62" s="12">
        <v>6</v>
      </c>
      <c r="D62" s="8">
        <v>1.49</v>
      </c>
      <c r="E62" s="12">
        <v>0</v>
      </c>
      <c r="F62" s="8">
        <v>0</v>
      </c>
      <c r="G62" s="12">
        <v>6</v>
      </c>
      <c r="H62" s="8">
        <v>2.65</v>
      </c>
      <c r="I62" s="12">
        <v>0</v>
      </c>
    </row>
    <row r="63" spans="2:9" ht="15" customHeight="1" x14ac:dyDescent="0.2">
      <c r="B63" t="s">
        <v>168</v>
      </c>
      <c r="C63" s="12">
        <v>6</v>
      </c>
      <c r="D63" s="8">
        <v>1.49</v>
      </c>
      <c r="E63" s="12">
        <v>3</v>
      </c>
      <c r="F63" s="8">
        <v>1.74</v>
      </c>
      <c r="G63" s="12">
        <v>3</v>
      </c>
      <c r="H63" s="8">
        <v>1.33</v>
      </c>
      <c r="I63" s="12">
        <v>0</v>
      </c>
    </row>
    <row r="64" spans="2:9" ht="15" customHeight="1" x14ac:dyDescent="0.2">
      <c r="B64" t="s">
        <v>206</v>
      </c>
      <c r="C64" s="12">
        <v>5</v>
      </c>
      <c r="D64" s="8">
        <v>1.24</v>
      </c>
      <c r="E64" s="12">
        <v>0</v>
      </c>
      <c r="F64" s="8">
        <v>0</v>
      </c>
      <c r="G64" s="12">
        <v>5</v>
      </c>
      <c r="H64" s="8">
        <v>2.21</v>
      </c>
      <c r="I64" s="12">
        <v>0</v>
      </c>
    </row>
    <row r="65" spans="2:9" ht="15" customHeight="1" x14ac:dyDescent="0.2">
      <c r="B65" t="s">
        <v>204</v>
      </c>
      <c r="C65" s="12">
        <v>5</v>
      </c>
      <c r="D65" s="8">
        <v>1.24</v>
      </c>
      <c r="E65" s="12">
        <v>2</v>
      </c>
      <c r="F65" s="8">
        <v>1.1599999999999999</v>
      </c>
      <c r="G65" s="12">
        <v>3</v>
      </c>
      <c r="H65" s="8">
        <v>1.33</v>
      </c>
      <c r="I65" s="12">
        <v>0</v>
      </c>
    </row>
    <row r="66" spans="2:9" ht="15" customHeight="1" x14ac:dyDescent="0.2">
      <c r="B66" t="s">
        <v>212</v>
      </c>
      <c r="C66" s="12">
        <v>5</v>
      </c>
      <c r="D66" s="8">
        <v>1.24</v>
      </c>
      <c r="E66" s="12">
        <v>0</v>
      </c>
      <c r="F66" s="8">
        <v>0</v>
      </c>
      <c r="G66" s="12">
        <v>5</v>
      </c>
      <c r="H66" s="8">
        <v>2.21</v>
      </c>
      <c r="I66" s="12">
        <v>0</v>
      </c>
    </row>
    <row r="67" spans="2:9" ht="15" customHeight="1" x14ac:dyDescent="0.2">
      <c r="B67" t="s">
        <v>213</v>
      </c>
      <c r="C67" s="12">
        <v>5</v>
      </c>
      <c r="D67" s="8">
        <v>1.24</v>
      </c>
      <c r="E67" s="12">
        <v>0</v>
      </c>
      <c r="F67" s="8">
        <v>0</v>
      </c>
      <c r="G67" s="12">
        <v>5</v>
      </c>
      <c r="H67" s="8">
        <v>2.21</v>
      </c>
      <c r="I67" s="12">
        <v>0</v>
      </c>
    </row>
    <row r="68" spans="2:9" ht="15" customHeight="1" x14ac:dyDescent="0.2">
      <c r="B68" t="s">
        <v>171</v>
      </c>
      <c r="C68" s="12">
        <v>5</v>
      </c>
      <c r="D68" s="8">
        <v>1.24</v>
      </c>
      <c r="E68" s="12">
        <v>1</v>
      </c>
      <c r="F68" s="8">
        <v>0.57999999999999996</v>
      </c>
      <c r="G68" s="12">
        <v>4</v>
      </c>
      <c r="H68" s="8">
        <v>1.77</v>
      </c>
      <c r="I68" s="12">
        <v>0</v>
      </c>
    </row>
    <row r="69" spans="2:9" ht="15" customHeight="1" x14ac:dyDescent="0.2">
      <c r="B69" t="s">
        <v>192</v>
      </c>
      <c r="C69" s="12">
        <v>5</v>
      </c>
      <c r="D69" s="8">
        <v>1.24</v>
      </c>
      <c r="E69" s="12">
        <v>4</v>
      </c>
      <c r="F69" s="8">
        <v>2.33</v>
      </c>
      <c r="G69" s="12">
        <v>1</v>
      </c>
      <c r="H69" s="8">
        <v>0.44</v>
      </c>
      <c r="I69" s="12">
        <v>0</v>
      </c>
    </row>
    <row r="70" spans="2:9" ht="15" customHeight="1" x14ac:dyDescent="0.2">
      <c r="B70" t="s">
        <v>169</v>
      </c>
      <c r="C70" s="12">
        <v>5</v>
      </c>
      <c r="D70" s="8">
        <v>1.24</v>
      </c>
      <c r="E70" s="12">
        <v>2</v>
      </c>
      <c r="F70" s="8">
        <v>1.1599999999999999</v>
      </c>
      <c r="G70" s="12">
        <v>3</v>
      </c>
      <c r="H70" s="8">
        <v>1.33</v>
      </c>
      <c r="I70" s="12">
        <v>0</v>
      </c>
    </row>
    <row r="71" spans="2:9" ht="15" customHeight="1" x14ac:dyDescent="0.2">
      <c r="B71" t="s">
        <v>180</v>
      </c>
      <c r="C71" s="12">
        <v>5</v>
      </c>
      <c r="D71" s="8">
        <v>1.24</v>
      </c>
      <c r="E71" s="12">
        <v>5</v>
      </c>
      <c r="F71" s="8">
        <v>2.91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181</v>
      </c>
      <c r="C72" s="12">
        <v>5</v>
      </c>
      <c r="D72" s="8">
        <v>1.24</v>
      </c>
      <c r="E72" s="12">
        <v>0</v>
      </c>
      <c r="F72" s="8">
        <v>0</v>
      </c>
      <c r="G72" s="12">
        <v>5</v>
      </c>
      <c r="H72" s="8">
        <v>2.21</v>
      </c>
      <c r="I72" s="12">
        <v>0</v>
      </c>
    </row>
    <row r="73" spans="2:9" ht="15" customHeight="1" x14ac:dyDescent="0.2">
      <c r="B73" t="s">
        <v>167</v>
      </c>
      <c r="C73" s="12">
        <v>5</v>
      </c>
      <c r="D73" s="8">
        <v>1.24</v>
      </c>
      <c r="E73" s="12">
        <v>3</v>
      </c>
      <c r="F73" s="8">
        <v>1.74</v>
      </c>
      <c r="G73" s="12">
        <v>2</v>
      </c>
      <c r="H73" s="8">
        <v>0.88</v>
      </c>
      <c r="I73" s="12">
        <v>0</v>
      </c>
    </row>
    <row r="75" spans="2:9" ht="15" customHeight="1" x14ac:dyDescent="0.2">
      <c r="B75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DA3E5-B672-4BE0-B80D-1025C891060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246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20</v>
      </c>
      <c r="D5" s="8">
        <v>0.02</v>
      </c>
      <c r="E5" s="12">
        <v>2</v>
      </c>
      <c r="F5" s="8">
        <v>0</v>
      </c>
      <c r="G5" s="12">
        <v>18</v>
      </c>
      <c r="H5" s="8">
        <v>0.03</v>
      </c>
      <c r="I5" s="12">
        <v>0</v>
      </c>
    </row>
    <row r="6" spans="2:9" ht="15" customHeight="1" x14ac:dyDescent="0.2">
      <c r="B6" t="s">
        <v>62</v>
      </c>
      <c r="C6" s="12">
        <v>16065</v>
      </c>
      <c r="D6" s="8">
        <v>15.98</v>
      </c>
      <c r="E6" s="12">
        <v>3425</v>
      </c>
      <c r="F6" s="8">
        <v>8.0500000000000007</v>
      </c>
      <c r="G6" s="12">
        <v>12639</v>
      </c>
      <c r="H6" s="8">
        <v>22.01</v>
      </c>
      <c r="I6" s="12">
        <v>1</v>
      </c>
    </row>
    <row r="7" spans="2:9" ht="15" customHeight="1" x14ac:dyDescent="0.2">
      <c r="B7" t="s">
        <v>63</v>
      </c>
      <c r="C7" s="12">
        <v>6343</v>
      </c>
      <c r="D7" s="8">
        <v>6.31</v>
      </c>
      <c r="E7" s="12">
        <v>1570</v>
      </c>
      <c r="F7" s="8">
        <v>3.69</v>
      </c>
      <c r="G7" s="12">
        <v>4770</v>
      </c>
      <c r="H7" s="8">
        <v>8.31</v>
      </c>
      <c r="I7" s="12">
        <v>3</v>
      </c>
    </row>
    <row r="8" spans="2:9" ht="15" customHeight="1" x14ac:dyDescent="0.2">
      <c r="B8" t="s">
        <v>64</v>
      </c>
      <c r="C8" s="12">
        <v>231</v>
      </c>
      <c r="D8" s="8">
        <v>0.23</v>
      </c>
      <c r="E8" s="12">
        <v>1</v>
      </c>
      <c r="F8" s="8">
        <v>0</v>
      </c>
      <c r="G8" s="12">
        <v>212</v>
      </c>
      <c r="H8" s="8">
        <v>0.37</v>
      </c>
      <c r="I8" s="12">
        <v>0</v>
      </c>
    </row>
    <row r="9" spans="2:9" ht="15" customHeight="1" x14ac:dyDescent="0.2">
      <c r="B9" t="s">
        <v>65</v>
      </c>
      <c r="C9" s="12">
        <v>1315</v>
      </c>
      <c r="D9" s="8">
        <v>1.31</v>
      </c>
      <c r="E9" s="12">
        <v>31</v>
      </c>
      <c r="F9" s="8">
        <v>7.0000000000000007E-2</v>
      </c>
      <c r="G9" s="12">
        <v>1284</v>
      </c>
      <c r="H9" s="8">
        <v>2.2400000000000002</v>
      </c>
      <c r="I9" s="12">
        <v>0</v>
      </c>
    </row>
    <row r="10" spans="2:9" ht="15" customHeight="1" x14ac:dyDescent="0.2">
      <c r="B10" t="s">
        <v>66</v>
      </c>
      <c r="C10" s="12">
        <v>1335</v>
      </c>
      <c r="D10" s="8">
        <v>1.33</v>
      </c>
      <c r="E10" s="12">
        <v>144</v>
      </c>
      <c r="F10" s="8">
        <v>0.34</v>
      </c>
      <c r="G10" s="12">
        <v>1181</v>
      </c>
      <c r="H10" s="8">
        <v>2.06</v>
      </c>
      <c r="I10" s="12">
        <v>8</v>
      </c>
    </row>
    <row r="11" spans="2:9" ht="15" customHeight="1" x14ac:dyDescent="0.2">
      <c r="B11" t="s">
        <v>67</v>
      </c>
      <c r="C11" s="12">
        <v>21133</v>
      </c>
      <c r="D11" s="8">
        <v>21.02</v>
      </c>
      <c r="E11" s="12">
        <v>7600</v>
      </c>
      <c r="F11" s="8">
        <v>17.87</v>
      </c>
      <c r="G11" s="12">
        <v>13516</v>
      </c>
      <c r="H11" s="8">
        <v>23.54</v>
      </c>
      <c r="I11" s="12">
        <v>17</v>
      </c>
    </row>
    <row r="12" spans="2:9" ht="15" customHeight="1" x14ac:dyDescent="0.2">
      <c r="B12" t="s">
        <v>68</v>
      </c>
      <c r="C12" s="12">
        <v>701</v>
      </c>
      <c r="D12" s="8">
        <v>0.7</v>
      </c>
      <c r="E12" s="12">
        <v>85</v>
      </c>
      <c r="F12" s="8">
        <v>0.2</v>
      </c>
      <c r="G12" s="12">
        <v>615</v>
      </c>
      <c r="H12" s="8">
        <v>1.07</v>
      </c>
      <c r="I12" s="12">
        <v>0</v>
      </c>
    </row>
    <row r="13" spans="2:9" ht="15" customHeight="1" x14ac:dyDescent="0.2">
      <c r="B13" t="s">
        <v>69</v>
      </c>
      <c r="C13" s="12">
        <v>10224</v>
      </c>
      <c r="D13" s="8">
        <v>10.17</v>
      </c>
      <c r="E13" s="12">
        <v>2396</v>
      </c>
      <c r="F13" s="8">
        <v>5.63</v>
      </c>
      <c r="G13" s="12">
        <v>7805</v>
      </c>
      <c r="H13" s="8">
        <v>13.59</v>
      </c>
      <c r="I13" s="12">
        <v>12</v>
      </c>
    </row>
    <row r="14" spans="2:9" ht="15" customHeight="1" x14ac:dyDescent="0.2">
      <c r="B14" t="s">
        <v>70</v>
      </c>
      <c r="C14" s="12">
        <v>5598</v>
      </c>
      <c r="D14" s="8">
        <v>5.57</v>
      </c>
      <c r="E14" s="12">
        <v>2182</v>
      </c>
      <c r="F14" s="8">
        <v>5.13</v>
      </c>
      <c r="G14" s="12">
        <v>3390</v>
      </c>
      <c r="H14" s="8">
        <v>5.9</v>
      </c>
      <c r="I14" s="12">
        <v>5</v>
      </c>
    </row>
    <row r="15" spans="2:9" ht="15" customHeight="1" x14ac:dyDescent="0.2">
      <c r="B15" t="s">
        <v>71</v>
      </c>
      <c r="C15" s="12">
        <v>11096</v>
      </c>
      <c r="D15" s="8">
        <v>11.04</v>
      </c>
      <c r="E15" s="12">
        <v>8538</v>
      </c>
      <c r="F15" s="8">
        <v>20.07</v>
      </c>
      <c r="G15" s="12">
        <v>2525</v>
      </c>
      <c r="H15" s="8">
        <v>4.4000000000000004</v>
      </c>
      <c r="I15" s="12">
        <v>2</v>
      </c>
    </row>
    <row r="16" spans="2:9" ht="15" customHeight="1" x14ac:dyDescent="0.2">
      <c r="B16" t="s">
        <v>72</v>
      </c>
      <c r="C16" s="12">
        <v>13367</v>
      </c>
      <c r="D16" s="8">
        <v>13.29</v>
      </c>
      <c r="E16" s="12">
        <v>9814</v>
      </c>
      <c r="F16" s="8">
        <v>23.07</v>
      </c>
      <c r="G16" s="12">
        <v>3455</v>
      </c>
      <c r="H16" s="8">
        <v>6.02</v>
      </c>
      <c r="I16" s="12">
        <v>9</v>
      </c>
    </row>
    <row r="17" spans="2:9" ht="15" customHeight="1" x14ac:dyDescent="0.2">
      <c r="B17" t="s">
        <v>73</v>
      </c>
      <c r="C17" s="12">
        <v>3718</v>
      </c>
      <c r="D17" s="8">
        <v>3.7</v>
      </c>
      <c r="E17" s="12">
        <v>2260</v>
      </c>
      <c r="F17" s="8">
        <v>5.31</v>
      </c>
      <c r="G17" s="12">
        <v>1304</v>
      </c>
      <c r="H17" s="8">
        <v>2.27</v>
      </c>
      <c r="I17" s="12">
        <v>6</v>
      </c>
    </row>
    <row r="18" spans="2:9" ht="15" customHeight="1" x14ac:dyDescent="0.2">
      <c r="B18" t="s">
        <v>74</v>
      </c>
      <c r="C18" s="12">
        <v>5424</v>
      </c>
      <c r="D18" s="8">
        <v>5.39</v>
      </c>
      <c r="E18" s="12">
        <v>3325</v>
      </c>
      <c r="F18" s="8">
        <v>7.82</v>
      </c>
      <c r="G18" s="12">
        <v>1976</v>
      </c>
      <c r="H18" s="8">
        <v>3.44</v>
      </c>
      <c r="I18" s="12">
        <v>5</v>
      </c>
    </row>
    <row r="19" spans="2:9" ht="15" customHeight="1" x14ac:dyDescent="0.2">
      <c r="B19" t="s">
        <v>75</v>
      </c>
      <c r="C19" s="12">
        <v>3977</v>
      </c>
      <c r="D19" s="8">
        <v>3.96</v>
      </c>
      <c r="E19" s="12">
        <v>1168</v>
      </c>
      <c r="F19" s="8">
        <v>2.75</v>
      </c>
      <c r="G19" s="12">
        <v>2723</v>
      </c>
      <c r="H19" s="8">
        <v>4.74</v>
      </c>
      <c r="I19" s="12">
        <v>17</v>
      </c>
    </row>
    <row r="20" spans="2:9" ht="15" customHeight="1" x14ac:dyDescent="0.2">
      <c r="B20" s="9" t="s">
        <v>248</v>
      </c>
      <c r="C20" s="12">
        <f>SUM(LTBL_12000[総数／事業所数])</f>
        <v>100547</v>
      </c>
      <c r="E20" s="12">
        <f>SUBTOTAL(109,LTBL_12000[個人／事業所数])</f>
        <v>42541</v>
      </c>
      <c r="G20" s="12">
        <f>SUBTOTAL(109,LTBL_12000[法人／事業所数])</f>
        <v>57413</v>
      </c>
      <c r="I20" s="12">
        <f>SUBTOTAL(109,LTBL_12000[法人以外の団体／事業所数])</f>
        <v>85</v>
      </c>
    </row>
    <row r="21" spans="2:9" ht="15" customHeight="1" x14ac:dyDescent="0.2">
      <c r="E21" s="11">
        <f>LTBL_12000[[#Totals],[個人／事業所数]]/LTBL_12000[[#Totals],[総数／事業所数]]</f>
        <v>0.42309566670313387</v>
      </c>
      <c r="G21" s="11">
        <f>LTBL_12000[[#Totals],[法人／事業所数]]/LTBL_12000[[#Totals],[総数／事業所数]]</f>
        <v>0.57100659393119635</v>
      </c>
      <c r="I21" s="11">
        <f>LTBL_12000[[#Totals],[法人以外の団体／事業所数]]/LTBL_12000[[#Totals],[総数／事業所数]]</f>
        <v>8.4537579440460676E-4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11019</v>
      </c>
      <c r="D24" s="8">
        <v>10.96</v>
      </c>
      <c r="E24" s="12">
        <v>8895</v>
      </c>
      <c r="F24" s="8">
        <v>20.91</v>
      </c>
      <c r="G24" s="12">
        <v>2120</v>
      </c>
      <c r="H24" s="8">
        <v>3.69</v>
      </c>
      <c r="I24" s="12">
        <v>3</v>
      </c>
    </row>
    <row r="25" spans="2:9" ht="15" customHeight="1" x14ac:dyDescent="0.2">
      <c r="B25" t="s">
        <v>97</v>
      </c>
      <c r="C25" s="12">
        <v>9839</v>
      </c>
      <c r="D25" s="8">
        <v>9.7899999999999991</v>
      </c>
      <c r="E25" s="12">
        <v>8053</v>
      </c>
      <c r="F25" s="8">
        <v>18.93</v>
      </c>
      <c r="G25" s="12">
        <v>1785</v>
      </c>
      <c r="H25" s="8">
        <v>3.11</v>
      </c>
      <c r="I25" s="12">
        <v>1</v>
      </c>
    </row>
    <row r="26" spans="2:9" ht="15" customHeight="1" x14ac:dyDescent="0.2">
      <c r="B26" t="s">
        <v>94</v>
      </c>
      <c r="C26" s="12">
        <v>7868</v>
      </c>
      <c r="D26" s="8">
        <v>7.83</v>
      </c>
      <c r="E26" s="12">
        <v>2267</v>
      </c>
      <c r="F26" s="8">
        <v>5.33</v>
      </c>
      <c r="G26" s="12">
        <v>5579</v>
      </c>
      <c r="H26" s="8">
        <v>9.7200000000000006</v>
      </c>
      <c r="I26" s="12">
        <v>11</v>
      </c>
    </row>
    <row r="27" spans="2:9" ht="15" customHeight="1" x14ac:dyDescent="0.2">
      <c r="B27" t="s">
        <v>84</v>
      </c>
      <c r="C27" s="12">
        <v>6270</v>
      </c>
      <c r="D27" s="8">
        <v>6.24</v>
      </c>
      <c r="E27" s="12">
        <v>1197</v>
      </c>
      <c r="F27" s="8">
        <v>2.81</v>
      </c>
      <c r="G27" s="12">
        <v>5072</v>
      </c>
      <c r="H27" s="8">
        <v>8.83</v>
      </c>
      <c r="I27" s="12">
        <v>1</v>
      </c>
    </row>
    <row r="28" spans="2:9" ht="15" customHeight="1" x14ac:dyDescent="0.2">
      <c r="B28" t="s">
        <v>92</v>
      </c>
      <c r="C28" s="12">
        <v>5844</v>
      </c>
      <c r="D28" s="8">
        <v>5.81</v>
      </c>
      <c r="E28" s="12">
        <v>2473</v>
      </c>
      <c r="F28" s="8">
        <v>5.81</v>
      </c>
      <c r="G28" s="12">
        <v>3366</v>
      </c>
      <c r="H28" s="8">
        <v>5.86</v>
      </c>
      <c r="I28" s="12">
        <v>5</v>
      </c>
    </row>
    <row r="29" spans="2:9" ht="15" customHeight="1" x14ac:dyDescent="0.2">
      <c r="B29" t="s">
        <v>85</v>
      </c>
      <c r="C29" s="12">
        <v>5553</v>
      </c>
      <c r="D29" s="8">
        <v>5.52</v>
      </c>
      <c r="E29" s="12">
        <v>1634</v>
      </c>
      <c r="F29" s="8">
        <v>3.84</v>
      </c>
      <c r="G29" s="12">
        <v>3919</v>
      </c>
      <c r="H29" s="8">
        <v>6.83</v>
      </c>
      <c r="I29" s="12">
        <v>0</v>
      </c>
    </row>
    <row r="30" spans="2:9" ht="15" customHeight="1" x14ac:dyDescent="0.2">
      <c r="B30" t="s">
        <v>86</v>
      </c>
      <c r="C30" s="12">
        <v>4242</v>
      </c>
      <c r="D30" s="8">
        <v>4.22</v>
      </c>
      <c r="E30" s="12">
        <v>594</v>
      </c>
      <c r="F30" s="8">
        <v>1.4</v>
      </c>
      <c r="G30" s="12">
        <v>3648</v>
      </c>
      <c r="H30" s="8">
        <v>6.35</v>
      </c>
      <c r="I30" s="12">
        <v>0</v>
      </c>
    </row>
    <row r="31" spans="2:9" ht="15" customHeight="1" x14ac:dyDescent="0.2">
      <c r="B31" t="s">
        <v>90</v>
      </c>
      <c r="C31" s="12">
        <v>4068</v>
      </c>
      <c r="D31" s="8">
        <v>4.05</v>
      </c>
      <c r="E31" s="12">
        <v>2510</v>
      </c>
      <c r="F31" s="8">
        <v>5.9</v>
      </c>
      <c r="G31" s="12">
        <v>1553</v>
      </c>
      <c r="H31" s="8">
        <v>2.7</v>
      </c>
      <c r="I31" s="12">
        <v>5</v>
      </c>
    </row>
    <row r="32" spans="2:9" ht="15" customHeight="1" x14ac:dyDescent="0.2">
      <c r="B32" t="s">
        <v>101</v>
      </c>
      <c r="C32" s="12">
        <v>3982</v>
      </c>
      <c r="D32" s="8">
        <v>3.96</v>
      </c>
      <c r="E32" s="12">
        <v>3303</v>
      </c>
      <c r="F32" s="8">
        <v>7.76</v>
      </c>
      <c r="G32" s="12">
        <v>677</v>
      </c>
      <c r="H32" s="8">
        <v>1.18</v>
      </c>
      <c r="I32" s="12">
        <v>0</v>
      </c>
    </row>
    <row r="33" spans="2:9" ht="15" customHeight="1" x14ac:dyDescent="0.2">
      <c r="B33" t="s">
        <v>100</v>
      </c>
      <c r="C33" s="12">
        <v>3718</v>
      </c>
      <c r="D33" s="8">
        <v>3.7</v>
      </c>
      <c r="E33" s="12">
        <v>2260</v>
      </c>
      <c r="F33" s="8">
        <v>5.31</v>
      </c>
      <c r="G33" s="12">
        <v>1304</v>
      </c>
      <c r="H33" s="8">
        <v>2.27</v>
      </c>
      <c r="I33" s="12">
        <v>6</v>
      </c>
    </row>
    <row r="34" spans="2:9" ht="15" customHeight="1" x14ac:dyDescent="0.2">
      <c r="B34" t="s">
        <v>95</v>
      </c>
      <c r="C34" s="12">
        <v>3099</v>
      </c>
      <c r="D34" s="8">
        <v>3.08</v>
      </c>
      <c r="E34" s="12">
        <v>1559</v>
      </c>
      <c r="F34" s="8">
        <v>3.66</v>
      </c>
      <c r="G34" s="12">
        <v>1539</v>
      </c>
      <c r="H34" s="8">
        <v>2.68</v>
      </c>
      <c r="I34" s="12">
        <v>1</v>
      </c>
    </row>
    <row r="35" spans="2:9" ht="15" customHeight="1" x14ac:dyDescent="0.2">
      <c r="B35" t="s">
        <v>91</v>
      </c>
      <c r="C35" s="12">
        <v>2687</v>
      </c>
      <c r="D35" s="8">
        <v>2.67</v>
      </c>
      <c r="E35" s="12">
        <v>1129</v>
      </c>
      <c r="F35" s="8">
        <v>2.65</v>
      </c>
      <c r="G35" s="12">
        <v>1558</v>
      </c>
      <c r="H35" s="8">
        <v>2.71</v>
      </c>
      <c r="I35" s="12">
        <v>0</v>
      </c>
    </row>
    <row r="36" spans="2:9" ht="15" customHeight="1" x14ac:dyDescent="0.2">
      <c r="B36" t="s">
        <v>96</v>
      </c>
      <c r="C36" s="12">
        <v>2271</v>
      </c>
      <c r="D36" s="8">
        <v>2.2599999999999998</v>
      </c>
      <c r="E36" s="12">
        <v>614</v>
      </c>
      <c r="F36" s="8">
        <v>1.44</v>
      </c>
      <c r="G36" s="12">
        <v>1637</v>
      </c>
      <c r="H36" s="8">
        <v>2.85</v>
      </c>
      <c r="I36" s="12">
        <v>4</v>
      </c>
    </row>
    <row r="37" spans="2:9" ht="15" customHeight="1" x14ac:dyDescent="0.2">
      <c r="B37" t="s">
        <v>89</v>
      </c>
      <c r="C37" s="12">
        <v>2240</v>
      </c>
      <c r="D37" s="8">
        <v>2.23</v>
      </c>
      <c r="E37" s="12">
        <v>774</v>
      </c>
      <c r="F37" s="8">
        <v>1.82</v>
      </c>
      <c r="G37" s="12">
        <v>1462</v>
      </c>
      <c r="H37" s="8">
        <v>2.5499999999999998</v>
      </c>
      <c r="I37" s="12">
        <v>4</v>
      </c>
    </row>
    <row r="38" spans="2:9" ht="15" customHeight="1" x14ac:dyDescent="0.2">
      <c r="B38" t="s">
        <v>93</v>
      </c>
      <c r="C38" s="12">
        <v>1849</v>
      </c>
      <c r="D38" s="8">
        <v>1.84</v>
      </c>
      <c r="E38" s="12">
        <v>79</v>
      </c>
      <c r="F38" s="8">
        <v>0.19</v>
      </c>
      <c r="G38" s="12">
        <v>1769</v>
      </c>
      <c r="H38" s="8">
        <v>3.08</v>
      </c>
      <c r="I38" s="12">
        <v>1</v>
      </c>
    </row>
    <row r="39" spans="2:9" ht="15" customHeight="1" x14ac:dyDescent="0.2">
      <c r="B39" t="s">
        <v>103</v>
      </c>
      <c r="C39" s="12">
        <v>1558</v>
      </c>
      <c r="D39" s="8">
        <v>1.55</v>
      </c>
      <c r="E39" s="12">
        <v>894</v>
      </c>
      <c r="F39" s="8">
        <v>2.1</v>
      </c>
      <c r="G39" s="12">
        <v>664</v>
      </c>
      <c r="H39" s="8">
        <v>1.1599999999999999</v>
      </c>
      <c r="I39" s="12">
        <v>0</v>
      </c>
    </row>
    <row r="40" spans="2:9" ht="15" customHeight="1" x14ac:dyDescent="0.2">
      <c r="B40" t="s">
        <v>99</v>
      </c>
      <c r="C40" s="12">
        <v>1483</v>
      </c>
      <c r="D40" s="8">
        <v>1.47</v>
      </c>
      <c r="E40" s="12">
        <v>554</v>
      </c>
      <c r="F40" s="8">
        <v>1.3</v>
      </c>
      <c r="G40" s="12">
        <v>866</v>
      </c>
      <c r="H40" s="8">
        <v>1.51</v>
      </c>
      <c r="I40" s="12">
        <v>3</v>
      </c>
    </row>
    <row r="41" spans="2:9" ht="15" customHeight="1" x14ac:dyDescent="0.2">
      <c r="B41" t="s">
        <v>87</v>
      </c>
      <c r="C41" s="12">
        <v>1447</v>
      </c>
      <c r="D41" s="8">
        <v>1.44</v>
      </c>
      <c r="E41" s="12">
        <v>165</v>
      </c>
      <c r="F41" s="8">
        <v>0.39</v>
      </c>
      <c r="G41" s="12">
        <v>1282</v>
      </c>
      <c r="H41" s="8">
        <v>2.23</v>
      </c>
      <c r="I41" s="12">
        <v>0</v>
      </c>
    </row>
    <row r="42" spans="2:9" ht="15" customHeight="1" x14ac:dyDescent="0.2">
      <c r="B42" t="s">
        <v>102</v>
      </c>
      <c r="C42" s="12">
        <v>1442</v>
      </c>
      <c r="D42" s="8">
        <v>1.43</v>
      </c>
      <c r="E42" s="12">
        <v>22</v>
      </c>
      <c r="F42" s="8">
        <v>0.05</v>
      </c>
      <c r="G42" s="12">
        <v>1299</v>
      </c>
      <c r="H42" s="8">
        <v>2.2599999999999998</v>
      </c>
      <c r="I42" s="12">
        <v>5</v>
      </c>
    </row>
    <row r="43" spans="2:9" ht="15" customHeight="1" x14ac:dyDescent="0.2">
      <c r="B43" t="s">
        <v>88</v>
      </c>
      <c r="C43" s="12">
        <v>1340</v>
      </c>
      <c r="D43" s="8">
        <v>1.33</v>
      </c>
      <c r="E43" s="12">
        <v>74</v>
      </c>
      <c r="F43" s="8">
        <v>0.17</v>
      </c>
      <c r="G43" s="12">
        <v>1266</v>
      </c>
      <c r="H43" s="8">
        <v>2.21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5199</v>
      </c>
      <c r="D47" s="8">
        <v>5.17</v>
      </c>
      <c r="E47" s="12">
        <v>4414</v>
      </c>
      <c r="F47" s="8">
        <v>10.38</v>
      </c>
      <c r="G47" s="12">
        <v>784</v>
      </c>
      <c r="H47" s="8">
        <v>1.37</v>
      </c>
      <c r="I47" s="12">
        <v>1</v>
      </c>
    </row>
    <row r="48" spans="2:9" ht="15" customHeight="1" x14ac:dyDescent="0.2">
      <c r="B48" t="s">
        <v>158</v>
      </c>
      <c r="C48" s="12">
        <v>4397</v>
      </c>
      <c r="D48" s="8">
        <v>4.37</v>
      </c>
      <c r="E48" s="12">
        <v>1754</v>
      </c>
      <c r="F48" s="8">
        <v>4.12</v>
      </c>
      <c r="G48" s="12">
        <v>2632</v>
      </c>
      <c r="H48" s="8">
        <v>4.58</v>
      </c>
      <c r="I48" s="12">
        <v>2</v>
      </c>
    </row>
    <row r="49" spans="2:9" ht="15" customHeight="1" x14ac:dyDescent="0.2">
      <c r="B49" t="s">
        <v>163</v>
      </c>
      <c r="C49" s="12">
        <v>3609</v>
      </c>
      <c r="D49" s="8">
        <v>3.59</v>
      </c>
      <c r="E49" s="12">
        <v>3310</v>
      </c>
      <c r="F49" s="8">
        <v>7.78</v>
      </c>
      <c r="G49" s="12">
        <v>298</v>
      </c>
      <c r="H49" s="8">
        <v>0.52</v>
      </c>
      <c r="I49" s="12">
        <v>1</v>
      </c>
    </row>
    <row r="50" spans="2:9" ht="15" customHeight="1" x14ac:dyDescent="0.2">
      <c r="B50" t="s">
        <v>161</v>
      </c>
      <c r="C50" s="12">
        <v>2912</v>
      </c>
      <c r="D50" s="8">
        <v>2.9</v>
      </c>
      <c r="E50" s="12">
        <v>2208</v>
      </c>
      <c r="F50" s="8">
        <v>5.19</v>
      </c>
      <c r="G50" s="12">
        <v>704</v>
      </c>
      <c r="H50" s="8">
        <v>1.23</v>
      </c>
      <c r="I50" s="12">
        <v>0</v>
      </c>
    </row>
    <row r="51" spans="2:9" ht="15" customHeight="1" x14ac:dyDescent="0.2">
      <c r="B51" t="s">
        <v>162</v>
      </c>
      <c r="C51" s="12">
        <v>2825</v>
      </c>
      <c r="D51" s="8">
        <v>2.81</v>
      </c>
      <c r="E51" s="12">
        <v>2556</v>
      </c>
      <c r="F51" s="8">
        <v>6.01</v>
      </c>
      <c r="G51" s="12">
        <v>269</v>
      </c>
      <c r="H51" s="8">
        <v>0.47</v>
      </c>
      <c r="I51" s="12">
        <v>0</v>
      </c>
    </row>
    <row r="52" spans="2:9" ht="15" customHeight="1" x14ac:dyDescent="0.2">
      <c r="B52" t="s">
        <v>166</v>
      </c>
      <c r="C52" s="12">
        <v>2587</v>
      </c>
      <c r="D52" s="8">
        <v>2.57</v>
      </c>
      <c r="E52" s="12">
        <v>2144</v>
      </c>
      <c r="F52" s="8">
        <v>5.04</v>
      </c>
      <c r="G52" s="12">
        <v>443</v>
      </c>
      <c r="H52" s="8">
        <v>0.77</v>
      </c>
      <c r="I52" s="12">
        <v>0</v>
      </c>
    </row>
    <row r="53" spans="2:9" ht="15" customHeight="1" x14ac:dyDescent="0.2">
      <c r="B53" t="s">
        <v>165</v>
      </c>
      <c r="C53" s="12">
        <v>2195</v>
      </c>
      <c r="D53" s="8">
        <v>2.1800000000000002</v>
      </c>
      <c r="E53" s="12">
        <v>1483</v>
      </c>
      <c r="F53" s="8">
        <v>3.49</v>
      </c>
      <c r="G53" s="12">
        <v>707</v>
      </c>
      <c r="H53" s="8">
        <v>1.23</v>
      </c>
      <c r="I53" s="12">
        <v>5</v>
      </c>
    </row>
    <row r="54" spans="2:9" ht="15" customHeight="1" x14ac:dyDescent="0.2">
      <c r="B54" t="s">
        <v>156</v>
      </c>
      <c r="C54" s="12">
        <v>1771</v>
      </c>
      <c r="D54" s="8">
        <v>1.76</v>
      </c>
      <c r="E54" s="12">
        <v>878</v>
      </c>
      <c r="F54" s="8">
        <v>2.06</v>
      </c>
      <c r="G54" s="12">
        <v>891</v>
      </c>
      <c r="H54" s="8">
        <v>1.55</v>
      </c>
      <c r="I54" s="12">
        <v>2</v>
      </c>
    </row>
    <row r="55" spans="2:9" ht="15" customHeight="1" x14ac:dyDescent="0.2">
      <c r="B55" t="s">
        <v>152</v>
      </c>
      <c r="C55" s="12">
        <v>1691</v>
      </c>
      <c r="D55" s="8">
        <v>1.68</v>
      </c>
      <c r="E55" s="12">
        <v>347</v>
      </c>
      <c r="F55" s="8">
        <v>0.82</v>
      </c>
      <c r="G55" s="12">
        <v>1344</v>
      </c>
      <c r="H55" s="8">
        <v>2.34</v>
      </c>
      <c r="I55" s="12">
        <v>0</v>
      </c>
    </row>
    <row r="56" spans="2:9" ht="15" customHeight="1" x14ac:dyDescent="0.2">
      <c r="B56" t="s">
        <v>153</v>
      </c>
      <c r="C56" s="12">
        <v>1666</v>
      </c>
      <c r="D56" s="8">
        <v>1.66</v>
      </c>
      <c r="E56" s="12">
        <v>211</v>
      </c>
      <c r="F56" s="8">
        <v>0.5</v>
      </c>
      <c r="G56" s="12">
        <v>1455</v>
      </c>
      <c r="H56" s="8">
        <v>2.5299999999999998</v>
      </c>
      <c r="I56" s="12">
        <v>0</v>
      </c>
    </row>
    <row r="57" spans="2:9" ht="15" customHeight="1" x14ac:dyDescent="0.2">
      <c r="B57" t="s">
        <v>148</v>
      </c>
      <c r="C57" s="12">
        <v>1652</v>
      </c>
      <c r="D57" s="8">
        <v>1.64</v>
      </c>
      <c r="E57" s="12">
        <v>166</v>
      </c>
      <c r="F57" s="8">
        <v>0.39</v>
      </c>
      <c r="G57" s="12">
        <v>1486</v>
      </c>
      <c r="H57" s="8">
        <v>2.59</v>
      </c>
      <c r="I57" s="12">
        <v>0</v>
      </c>
    </row>
    <row r="58" spans="2:9" ht="15" customHeight="1" x14ac:dyDescent="0.2">
      <c r="B58" t="s">
        <v>150</v>
      </c>
      <c r="C58" s="12">
        <v>1628</v>
      </c>
      <c r="D58" s="8">
        <v>1.62</v>
      </c>
      <c r="E58" s="12">
        <v>684</v>
      </c>
      <c r="F58" s="8">
        <v>1.61</v>
      </c>
      <c r="G58" s="12">
        <v>944</v>
      </c>
      <c r="H58" s="8">
        <v>1.64</v>
      </c>
      <c r="I58" s="12">
        <v>0</v>
      </c>
    </row>
    <row r="59" spans="2:9" ht="15" customHeight="1" x14ac:dyDescent="0.2">
      <c r="B59" t="s">
        <v>155</v>
      </c>
      <c r="C59" s="12">
        <v>1563</v>
      </c>
      <c r="D59" s="8">
        <v>1.55</v>
      </c>
      <c r="E59" s="12">
        <v>542</v>
      </c>
      <c r="F59" s="8">
        <v>1.27</v>
      </c>
      <c r="G59" s="12">
        <v>1021</v>
      </c>
      <c r="H59" s="8">
        <v>1.78</v>
      </c>
      <c r="I59" s="12">
        <v>0</v>
      </c>
    </row>
    <row r="60" spans="2:9" ht="15" customHeight="1" x14ac:dyDescent="0.2">
      <c r="B60" t="s">
        <v>167</v>
      </c>
      <c r="C60" s="12">
        <v>1554</v>
      </c>
      <c r="D60" s="8">
        <v>1.55</v>
      </c>
      <c r="E60" s="12">
        <v>894</v>
      </c>
      <c r="F60" s="8">
        <v>2.1</v>
      </c>
      <c r="G60" s="12">
        <v>660</v>
      </c>
      <c r="H60" s="8">
        <v>1.1499999999999999</v>
      </c>
      <c r="I60" s="12">
        <v>0</v>
      </c>
    </row>
    <row r="61" spans="2:9" ht="15" customHeight="1" x14ac:dyDescent="0.2">
      <c r="B61" t="s">
        <v>154</v>
      </c>
      <c r="C61" s="12">
        <v>1543</v>
      </c>
      <c r="D61" s="8">
        <v>1.53</v>
      </c>
      <c r="E61" s="12">
        <v>908</v>
      </c>
      <c r="F61" s="8">
        <v>2.13</v>
      </c>
      <c r="G61" s="12">
        <v>633</v>
      </c>
      <c r="H61" s="8">
        <v>1.1000000000000001</v>
      </c>
      <c r="I61" s="12">
        <v>2</v>
      </c>
    </row>
    <row r="62" spans="2:9" ht="15" customHeight="1" x14ac:dyDescent="0.2">
      <c r="B62" t="s">
        <v>159</v>
      </c>
      <c r="C62" s="12">
        <v>1451</v>
      </c>
      <c r="D62" s="8">
        <v>1.44</v>
      </c>
      <c r="E62" s="12">
        <v>33</v>
      </c>
      <c r="F62" s="8">
        <v>0.08</v>
      </c>
      <c r="G62" s="12">
        <v>1408</v>
      </c>
      <c r="H62" s="8">
        <v>2.4500000000000002</v>
      </c>
      <c r="I62" s="12">
        <v>8</v>
      </c>
    </row>
    <row r="63" spans="2:9" ht="15" customHeight="1" x14ac:dyDescent="0.2">
      <c r="B63" t="s">
        <v>157</v>
      </c>
      <c r="C63" s="12">
        <v>1434</v>
      </c>
      <c r="D63" s="8">
        <v>1.43</v>
      </c>
      <c r="E63" s="12">
        <v>175</v>
      </c>
      <c r="F63" s="8">
        <v>0.41</v>
      </c>
      <c r="G63" s="12">
        <v>1258</v>
      </c>
      <c r="H63" s="8">
        <v>2.19</v>
      </c>
      <c r="I63" s="12">
        <v>1</v>
      </c>
    </row>
    <row r="64" spans="2:9" ht="15" customHeight="1" x14ac:dyDescent="0.2">
      <c r="B64" t="s">
        <v>149</v>
      </c>
      <c r="C64" s="12">
        <v>1364</v>
      </c>
      <c r="D64" s="8">
        <v>1.36</v>
      </c>
      <c r="E64" s="12">
        <v>152</v>
      </c>
      <c r="F64" s="8">
        <v>0.36</v>
      </c>
      <c r="G64" s="12">
        <v>1211</v>
      </c>
      <c r="H64" s="8">
        <v>2.11</v>
      </c>
      <c r="I64" s="12">
        <v>1</v>
      </c>
    </row>
    <row r="65" spans="2:9" ht="15" customHeight="1" x14ac:dyDescent="0.2">
      <c r="B65" t="s">
        <v>160</v>
      </c>
      <c r="C65" s="12">
        <v>1335</v>
      </c>
      <c r="D65" s="8">
        <v>1.33</v>
      </c>
      <c r="E65" s="12">
        <v>278</v>
      </c>
      <c r="F65" s="8">
        <v>0.65</v>
      </c>
      <c r="G65" s="12">
        <v>1038</v>
      </c>
      <c r="H65" s="8">
        <v>1.81</v>
      </c>
      <c r="I65" s="12">
        <v>3</v>
      </c>
    </row>
    <row r="66" spans="2:9" ht="15" customHeight="1" x14ac:dyDescent="0.2">
      <c r="B66" t="s">
        <v>151</v>
      </c>
      <c r="C66" s="12">
        <v>1332</v>
      </c>
      <c r="D66" s="8">
        <v>1.32</v>
      </c>
      <c r="E66" s="12">
        <v>188</v>
      </c>
      <c r="F66" s="8">
        <v>0.44</v>
      </c>
      <c r="G66" s="12">
        <v>1144</v>
      </c>
      <c r="H66" s="8">
        <v>1.99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3D791-AC71-4CB1-9ED0-C1FA77DF2E23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296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55</v>
      </c>
      <c r="D6" s="8">
        <v>19.71</v>
      </c>
      <c r="E6" s="12">
        <v>19</v>
      </c>
      <c r="F6" s="8">
        <v>14.39</v>
      </c>
      <c r="G6" s="12">
        <v>36</v>
      </c>
      <c r="H6" s="8">
        <v>24.83</v>
      </c>
      <c r="I6" s="12">
        <v>0</v>
      </c>
    </row>
    <row r="7" spans="2:9" ht="15" customHeight="1" x14ac:dyDescent="0.2">
      <c r="B7" t="s">
        <v>63</v>
      </c>
      <c r="C7" s="12">
        <v>13</v>
      </c>
      <c r="D7" s="8">
        <v>4.66</v>
      </c>
      <c r="E7" s="12">
        <v>1</v>
      </c>
      <c r="F7" s="8">
        <v>0.76</v>
      </c>
      <c r="G7" s="12">
        <v>12</v>
      </c>
      <c r="H7" s="8">
        <v>8.2799999999999994</v>
      </c>
      <c r="I7" s="12">
        <v>0</v>
      </c>
    </row>
    <row r="8" spans="2:9" ht="15" customHeight="1" x14ac:dyDescent="0.2">
      <c r="B8" t="s">
        <v>64</v>
      </c>
      <c r="C8" s="12">
        <v>1</v>
      </c>
      <c r="D8" s="8">
        <v>0.36</v>
      </c>
      <c r="E8" s="12">
        <v>0</v>
      </c>
      <c r="F8" s="8">
        <v>0</v>
      </c>
      <c r="G8" s="12">
        <v>1</v>
      </c>
      <c r="H8" s="8">
        <v>0.69</v>
      </c>
      <c r="I8" s="12">
        <v>0</v>
      </c>
    </row>
    <row r="9" spans="2:9" ht="15" customHeight="1" x14ac:dyDescent="0.2">
      <c r="B9" t="s">
        <v>65</v>
      </c>
      <c r="C9" s="12">
        <v>1</v>
      </c>
      <c r="D9" s="8">
        <v>0.36</v>
      </c>
      <c r="E9" s="12">
        <v>0</v>
      </c>
      <c r="F9" s="8">
        <v>0</v>
      </c>
      <c r="G9" s="12">
        <v>1</v>
      </c>
      <c r="H9" s="8">
        <v>0.69</v>
      </c>
      <c r="I9" s="12">
        <v>0</v>
      </c>
    </row>
    <row r="10" spans="2:9" ht="15" customHeight="1" x14ac:dyDescent="0.2">
      <c r="B10" t="s">
        <v>66</v>
      </c>
      <c r="C10" s="12">
        <v>5</v>
      </c>
      <c r="D10" s="8">
        <v>1.79</v>
      </c>
      <c r="E10" s="12">
        <v>0</v>
      </c>
      <c r="F10" s="8">
        <v>0</v>
      </c>
      <c r="G10" s="12">
        <v>5</v>
      </c>
      <c r="H10" s="8">
        <v>3.45</v>
      </c>
      <c r="I10" s="12">
        <v>0</v>
      </c>
    </row>
    <row r="11" spans="2:9" ht="15" customHeight="1" x14ac:dyDescent="0.2">
      <c r="B11" t="s">
        <v>67</v>
      </c>
      <c r="C11" s="12">
        <v>68</v>
      </c>
      <c r="D11" s="8">
        <v>24.37</v>
      </c>
      <c r="E11" s="12">
        <v>28</v>
      </c>
      <c r="F11" s="8">
        <v>21.21</v>
      </c>
      <c r="G11" s="12">
        <v>40</v>
      </c>
      <c r="H11" s="8">
        <v>27.59</v>
      </c>
      <c r="I11" s="12">
        <v>0</v>
      </c>
    </row>
    <row r="12" spans="2:9" ht="15" customHeight="1" x14ac:dyDescent="0.2">
      <c r="B12" t="s">
        <v>68</v>
      </c>
      <c r="C12" s="12">
        <v>4</v>
      </c>
      <c r="D12" s="8">
        <v>1.43</v>
      </c>
      <c r="E12" s="12">
        <v>0</v>
      </c>
      <c r="F12" s="8">
        <v>0</v>
      </c>
      <c r="G12" s="12">
        <v>4</v>
      </c>
      <c r="H12" s="8">
        <v>2.76</v>
      </c>
      <c r="I12" s="12">
        <v>0</v>
      </c>
    </row>
    <row r="13" spans="2:9" ht="15" customHeight="1" x14ac:dyDescent="0.2">
      <c r="B13" t="s">
        <v>69</v>
      </c>
      <c r="C13" s="12">
        <v>13</v>
      </c>
      <c r="D13" s="8">
        <v>4.66</v>
      </c>
      <c r="E13" s="12">
        <v>4</v>
      </c>
      <c r="F13" s="8">
        <v>3.03</v>
      </c>
      <c r="G13" s="12">
        <v>9</v>
      </c>
      <c r="H13" s="8">
        <v>6.21</v>
      </c>
      <c r="I13" s="12">
        <v>0</v>
      </c>
    </row>
    <row r="14" spans="2:9" ht="15" customHeight="1" x14ac:dyDescent="0.2">
      <c r="B14" t="s">
        <v>70</v>
      </c>
      <c r="C14" s="12">
        <v>15</v>
      </c>
      <c r="D14" s="8">
        <v>5.38</v>
      </c>
      <c r="E14" s="12">
        <v>4</v>
      </c>
      <c r="F14" s="8">
        <v>3.03</v>
      </c>
      <c r="G14" s="12">
        <v>10</v>
      </c>
      <c r="H14" s="8">
        <v>6.9</v>
      </c>
      <c r="I14" s="12">
        <v>0</v>
      </c>
    </row>
    <row r="15" spans="2:9" ht="15" customHeight="1" x14ac:dyDescent="0.2">
      <c r="B15" t="s">
        <v>71</v>
      </c>
      <c r="C15" s="12">
        <v>20</v>
      </c>
      <c r="D15" s="8">
        <v>7.17</v>
      </c>
      <c r="E15" s="12">
        <v>19</v>
      </c>
      <c r="F15" s="8">
        <v>14.39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72</v>
      </c>
      <c r="C16" s="12">
        <v>41</v>
      </c>
      <c r="D16" s="8">
        <v>14.7</v>
      </c>
      <c r="E16" s="12">
        <v>32</v>
      </c>
      <c r="F16" s="8">
        <v>24.24</v>
      </c>
      <c r="G16" s="12">
        <v>9</v>
      </c>
      <c r="H16" s="8">
        <v>6.21</v>
      </c>
      <c r="I16" s="12">
        <v>0</v>
      </c>
    </row>
    <row r="17" spans="2:9" ht="15" customHeight="1" x14ac:dyDescent="0.2">
      <c r="B17" t="s">
        <v>73</v>
      </c>
      <c r="C17" s="12">
        <v>7</v>
      </c>
      <c r="D17" s="8">
        <v>2.5099999999999998</v>
      </c>
      <c r="E17" s="12">
        <v>5</v>
      </c>
      <c r="F17" s="8">
        <v>3.79</v>
      </c>
      <c r="G17" s="12">
        <v>2</v>
      </c>
      <c r="H17" s="8">
        <v>1.38</v>
      </c>
      <c r="I17" s="12">
        <v>0</v>
      </c>
    </row>
    <row r="18" spans="2:9" ht="15" customHeight="1" x14ac:dyDescent="0.2">
      <c r="B18" t="s">
        <v>74</v>
      </c>
      <c r="C18" s="12">
        <v>20</v>
      </c>
      <c r="D18" s="8">
        <v>7.17</v>
      </c>
      <c r="E18" s="12">
        <v>14</v>
      </c>
      <c r="F18" s="8">
        <v>10.61</v>
      </c>
      <c r="G18" s="12">
        <v>6</v>
      </c>
      <c r="H18" s="8">
        <v>4.1399999999999997</v>
      </c>
      <c r="I18" s="12">
        <v>0</v>
      </c>
    </row>
    <row r="19" spans="2:9" ht="15" customHeight="1" x14ac:dyDescent="0.2">
      <c r="B19" t="s">
        <v>75</v>
      </c>
      <c r="C19" s="12">
        <v>16</v>
      </c>
      <c r="D19" s="8">
        <v>5.73</v>
      </c>
      <c r="E19" s="12">
        <v>6</v>
      </c>
      <c r="F19" s="8">
        <v>4.55</v>
      </c>
      <c r="G19" s="12">
        <v>10</v>
      </c>
      <c r="H19" s="8">
        <v>6.9</v>
      </c>
      <c r="I19" s="12">
        <v>0</v>
      </c>
    </row>
    <row r="20" spans="2:9" ht="15" customHeight="1" x14ac:dyDescent="0.2">
      <c r="B20" s="9" t="s">
        <v>248</v>
      </c>
      <c r="C20" s="12">
        <f>SUM(LTBL_12329[総数／事業所数])</f>
        <v>279</v>
      </c>
      <c r="E20" s="12">
        <f>SUBTOTAL(109,LTBL_12329[個人／事業所数])</f>
        <v>132</v>
      </c>
      <c r="G20" s="12">
        <f>SUBTOTAL(109,LTBL_12329[法人／事業所数])</f>
        <v>145</v>
      </c>
      <c r="I20" s="12">
        <f>SUBTOTAL(109,LTBL_12329[法人以外の団体／事業所数])</f>
        <v>0</v>
      </c>
    </row>
    <row r="21" spans="2:9" ht="15" customHeight="1" x14ac:dyDescent="0.2">
      <c r="E21" s="11">
        <f>LTBL_12329[[#Totals],[個人／事業所数]]/LTBL_12329[[#Totals],[総数／事業所数]]</f>
        <v>0.4731182795698925</v>
      </c>
      <c r="G21" s="11">
        <f>LTBL_12329[[#Totals],[法人／事業所数]]/LTBL_12329[[#Totals],[総数／事業所数]]</f>
        <v>0.51971326164874554</v>
      </c>
      <c r="I21" s="11">
        <f>LTBL_12329[[#Totals],[法人以外の団体／事業所数]]/LTBL_12329[[#Totals],[総数／事業所数]]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33</v>
      </c>
      <c r="D24" s="8">
        <v>11.83</v>
      </c>
      <c r="E24" s="12">
        <v>27</v>
      </c>
      <c r="F24" s="8">
        <v>20.45</v>
      </c>
      <c r="G24" s="12">
        <v>6</v>
      </c>
      <c r="H24" s="8">
        <v>4.1399999999999997</v>
      </c>
      <c r="I24" s="12">
        <v>0</v>
      </c>
    </row>
    <row r="25" spans="2:9" ht="15" customHeight="1" x14ac:dyDescent="0.2">
      <c r="B25" t="s">
        <v>84</v>
      </c>
      <c r="C25" s="12">
        <v>24</v>
      </c>
      <c r="D25" s="8">
        <v>8.6</v>
      </c>
      <c r="E25" s="12">
        <v>5</v>
      </c>
      <c r="F25" s="8">
        <v>3.79</v>
      </c>
      <c r="G25" s="12">
        <v>19</v>
      </c>
      <c r="H25" s="8">
        <v>13.1</v>
      </c>
      <c r="I25" s="12">
        <v>0</v>
      </c>
    </row>
    <row r="26" spans="2:9" ht="15" customHeight="1" x14ac:dyDescent="0.2">
      <c r="B26" t="s">
        <v>92</v>
      </c>
      <c r="C26" s="12">
        <v>20</v>
      </c>
      <c r="D26" s="8">
        <v>7.17</v>
      </c>
      <c r="E26" s="12">
        <v>9</v>
      </c>
      <c r="F26" s="8">
        <v>6.82</v>
      </c>
      <c r="G26" s="12">
        <v>11</v>
      </c>
      <c r="H26" s="8">
        <v>7.59</v>
      </c>
      <c r="I26" s="12">
        <v>0</v>
      </c>
    </row>
    <row r="27" spans="2:9" ht="15" customHeight="1" x14ac:dyDescent="0.2">
      <c r="B27" t="s">
        <v>97</v>
      </c>
      <c r="C27" s="12">
        <v>19</v>
      </c>
      <c r="D27" s="8">
        <v>6.81</v>
      </c>
      <c r="E27" s="12">
        <v>19</v>
      </c>
      <c r="F27" s="8">
        <v>14.39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85</v>
      </c>
      <c r="C28" s="12">
        <v>18</v>
      </c>
      <c r="D28" s="8">
        <v>6.45</v>
      </c>
      <c r="E28" s="12">
        <v>10</v>
      </c>
      <c r="F28" s="8">
        <v>7.58</v>
      </c>
      <c r="G28" s="12">
        <v>8</v>
      </c>
      <c r="H28" s="8">
        <v>5.52</v>
      </c>
      <c r="I28" s="12">
        <v>0</v>
      </c>
    </row>
    <row r="29" spans="2:9" ht="15" customHeight="1" x14ac:dyDescent="0.2">
      <c r="B29" t="s">
        <v>101</v>
      </c>
      <c r="C29" s="12">
        <v>17</v>
      </c>
      <c r="D29" s="8">
        <v>6.09</v>
      </c>
      <c r="E29" s="12">
        <v>14</v>
      </c>
      <c r="F29" s="8">
        <v>10.61</v>
      </c>
      <c r="G29" s="12">
        <v>3</v>
      </c>
      <c r="H29" s="8">
        <v>2.0699999999999998</v>
      </c>
      <c r="I29" s="12">
        <v>0</v>
      </c>
    </row>
    <row r="30" spans="2:9" ht="15" customHeight="1" x14ac:dyDescent="0.2">
      <c r="B30" t="s">
        <v>90</v>
      </c>
      <c r="C30" s="12">
        <v>16</v>
      </c>
      <c r="D30" s="8">
        <v>5.73</v>
      </c>
      <c r="E30" s="12">
        <v>11</v>
      </c>
      <c r="F30" s="8">
        <v>8.33</v>
      </c>
      <c r="G30" s="12">
        <v>5</v>
      </c>
      <c r="H30" s="8">
        <v>3.45</v>
      </c>
      <c r="I30" s="12">
        <v>0</v>
      </c>
    </row>
    <row r="31" spans="2:9" ht="15" customHeight="1" x14ac:dyDescent="0.2">
      <c r="B31" t="s">
        <v>86</v>
      </c>
      <c r="C31" s="12">
        <v>13</v>
      </c>
      <c r="D31" s="8">
        <v>4.66</v>
      </c>
      <c r="E31" s="12">
        <v>4</v>
      </c>
      <c r="F31" s="8">
        <v>3.03</v>
      </c>
      <c r="G31" s="12">
        <v>9</v>
      </c>
      <c r="H31" s="8">
        <v>6.21</v>
      </c>
      <c r="I31" s="12">
        <v>0</v>
      </c>
    </row>
    <row r="32" spans="2:9" ht="15" customHeight="1" x14ac:dyDescent="0.2">
      <c r="B32" t="s">
        <v>103</v>
      </c>
      <c r="C32" s="12">
        <v>11</v>
      </c>
      <c r="D32" s="8">
        <v>3.94</v>
      </c>
      <c r="E32" s="12">
        <v>6</v>
      </c>
      <c r="F32" s="8">
        <v>4.55</v>
      </c>
      <c r="G32" s="12">
        <v>5</v>
      </c>
      <c r="H32" s="8">
        <v>3.45</v>
      </c>
      <c r="I32" s="12">
        <v>0</v>
      </c>
    </row>
    <row r="33" spans="2:9" ht="15" customHeight="1" x14ac:dyDescent="0.2">
      <c r="B33" t="s">
        <v>96</v>
      </c>
      <c r="C33" s="12">
        <v>9</v>
      </c>
      <c r="D33" s="8">
        <v>3.23</v>
      </c>
      <c r="E33" s="12">
        <v>4</v>
      </c>
      <c r="F33" s="8">
        <v>3.03</v>
      </c>
      <c r="G33" s="12">
        <v>4</v>
      </c>
      <c r="H33" s="8">
        <v>2.76</v>
      </c>
      <c r="I33" s="12">
        <v>0</v>
      </c>
    </row>
    <row r="34" spans="2:9" ht="15" customHeight="1" x14ac:dyDescent="0.2">
      <c r="B34" t="s">
        <v>94</v>
      </c>
      <c r="C34" s="12">
        <v>8</v>
      </c>
      <c r="D34" s="8">
        <v>2.87</v>
      </c>
      <c r="E34" s="12">
        <v>3</v>
      </c>
      <c r="F34" s="8">
        <v>2.27</v>
      </c>
      <c r="G34" s="12">
        <v>5</v>
      </c>
      <c r="H34" s="8">
        <v>3.45</v>
      </c>
      <c r="I34" s="12">
        <v>0</v>
      </c>
    </row>
    <row r="35" spans="2:9" ht="15" customHeight="1" x14ac:dyDescent="0.2">
      <c r="B35" t="s">
        <v>120</v>
      </c>
      <c r="C35" s="12">
        <v>7</v>
      </c>
      <c r="D35" s="8">
        <v>2.5099999999999998</v>
      </c>
      <c r="E35" s="12">
        <v>1</v>
      </c>
      <c r="F35" s="8">
        <v>0.76</v>
      </c>
      <c r="G35" s="12">
        <v>6</v>
      </c>
      <c r="H35" s="8">
        <v>4.1399999999999997</v>
      </c>
      <c r="I35" s="12">
        <v>0</v>
      </c>
    </row>
    <row r="36" spans="2:9" ht="15" customHeight="1" x14ac:dyDescent="0.2">
      <c r="B36" t="s">
        <v>100</v>
      </c>
      <c r="C36" s="12">
        <v>7</v>
      </c>
      <c r="D36" s="8">
        <v>2.5099999999999998</v>
      </c>
      <c r="E36" s="12">
        <v>5</v>
      </c>
      <c r="F36" s="8">
        <v>3.79</v>
      </c>
      <c r="G36" s="12">
        <v>2</v>
      </c>
      <c r="H36" s="8">
        <v>1.38</v>
      </c>
      <c r="I36" s="12">
        <v>0</v>
      </c>
    </row>
    <row r="37" spans="2:9" ht="15" customHeight="1" x14ac:dyDescent="0.2">
      <c r="B37" t="s">
        <v>109</v>
      </c>
      <c r="C37" s="12">
        <v>6</v>
      </c>
      <c r="D37" s="8">
        <v>2.15</v>
      </c>
      <c r="E37" s="12">
        <v>1</v>
      </c>
      <c r="F37" s="8">
        <v>0.76</v>
      </c>
      <c r="G37" s="12">
        <v>5</v>
      </c>
      <c r="H37" s="8">
        <v>3.45</v>
      </c>
      <c r="I37" s="12">
        <v>0</v>
      </c>
    </row>
    <row r="38" spans="2:9" ht="15" customHeight="1" x14ac:dyDescent="0.2">
      <c r="B38" t="s">
        <v>95</v>
      </c>
      <c r="C38" s="12">
        <v>6</v>
      </c>
      <c r="D38" s="8">
        <v>2.15</v>
      </c>
      <c r="E38" s="12">
        <v>0</v>
      </c>
      <c r="F38" s="8">
        <v>0</v>
      </c>
      <c r="G38" s="12">
        <v>6</v>
      </c>
      <c r="H38" s="8">
        <v>4.1399999999999997</v>
      </c>
      <c r="I38" s="12">
        <v>0</v>
      </c>
    </row>
    <row r="39" spans="2:9" ht="15" customHeight="1" x14ac:dyDescent="0.2">
      <c r="B39" t="s">
        <v>89</v>
      </c>
      <c r="C39" s="12">
        <v>5</v>
      </c>
      <c r="D39" s="8">
        <v>1.79</v>
      </c>
      <c r="E39" s="12">
        <v>4</v>
      </c>
      <c r="F39" s="8">
        <v>3.03</v>
      </c>
      <c r="G39" s="12">
        <v>1</v>
      </c>
      <c r="H39" s="8">
        <v>0.69</v>
      </c>
      <c r="I39" s="12">
        <v>0</v>
      </c>
    </row>
    <row r="40" spans="2:9" ht="15" customHeight="1" x14ac:dyDescent="0.2">
      <c r="B40" t="s">
        <v>91</v>
      </c>
      <c r="C40" s="12">
        <v>5</v>
      </c>
      <c r="D40" s="8">
        <v>1.79</v>
      </c>
      <c r="E40" s="12">
        <v>2</v>
      </c>
      <c r="F40" s="8">
        <v>1.52</v>
      </c>
      <c r="G40" s="12">
        <v>3</v>
      </c>
      <c r="H40" s="8">
        <v>2.0699999999999998</v>
      </c>
      <c r="I40" s="12">
        <v>0</v>
      </c>
    </row>
    <row r="41" spans="2:9" ht="15" customHeight="1" x14ac:dyDescent="0.2">
      <c r="B41" t="s">
        <v>87</v>
      </c>
      <c r="C41" s="12">
        <v>4</v>
      </c>
      <c r="D41" s="8">
        <v>1.43</v>
      </c>
      <c r="E41" s="12">
        <v>0</v>
      </c>
      <c r="F41" s="8">
        <v>0</v>
      </c>
      <c r="G41" s="12">
        <v>4</v>
      </c>
      <c r="H41" s="8">
        <v>2.76</v>
      </c>
      <c r="I41" s="12">
        <v>0</v>
      </c>
    </row>
    <row r="42" spans="2:9" ht="15" customHeight="1" x14ac:dyDescent="0.2">
      <c r="B42" t="s">
        <v>113</v>
      </c>
      <c r="C42" s="12">
        <v>4</v>
      </c>
      <c r="D42" s="8">
        <v>1.43</v>
      </c>
      <c r="E42" s="12">
        <v>0</v>
      </c>
      <c r="F42" s="8">
        <v>0</v>
      </c>
      <c r="G42" s="12">
        <v>4</v>
      </c>
      <c r="H42" s="8">
        <v>2.76</v>
      </c>
      <c r="I42" s="12">
        <v>0</v>
      </c>
    </row>
    <row r="43" spans="2:9" ht="15" customHeight="1" x14ac:dyDescent="0.2">
      <c r="B43" t="s">
        <v>93</v>
      </c>
      <c r="C43" s="12">
        <v>4</v>
      </c>
      <c r="D43" s="8">
        <v>1.43</v>
      </c>
      <c r="E43" s="12">
        <v>1</v>
      </c>
      <c r="F43" s="8">
        <v>0.76</v>
      </c>
      <c r="G43" s="12">
        <v>3</v>
      </c>
      <c r="H43" s="8">
        <v>2.0699999999999998</v>
      </c>
      <c r="I43" s="12">
        <v>0</v>
      </c>
    </row>
    <row r="44" spans="2:9" ht="15" customHeight="1" x14ac:dyDescent="0.2">
      <c r="B44" t="s">
        <v>99</v>
      </c>
      <c r="C44" s="12">
        <v>4</v>
      </c>
      <c r="D44" s="8">
        <v>1.43</v>
      </c>
      <c r="E44" s="12">
        <v>3</v>
      </c>
      <c r="F44" s="8">
        <v>2.27</v>
      </c>
      <c r="G44" s="12">
        <v>1</v>
      </c>
      <c r="H44" s="8">
        <v>0.69</v>
      </c>
      <c r="I44" s="12">
        <v>0</v>
      </c>
    </row>
    <row r="45" spans="2:9" ht="15" customHeight="1" x14ac:dyDescent="0.2">
      <c r="B45" t="s">
        <v>112</v>
      </c>
      <c r="C45" s="12">
        <v>4</v>
      </c>
      <c r="D45" s="8">
        <v>1.43</v>
      </c>
      <c r="E45" s="12">
        <v>2</v>
      </c>
      <c r="F45" s="8">
        <v>1.52</v>
      </c>
      <c r="G45" s="12">
        <v>2</v>
      </c>
      <c r="H45" s="8">
        <v>1.38</v>
      </c>
      <c r="I45" s="12">
        <v>0</v>
      </c>
    </row>
    <row r="48" spans="2:9" ht="33" customHeight="1" x14ac:dyDescent="0.2">
      <c r="B48" t="s">
        <v>250</v>
      </c>
      <c r="C48" s="10" t="s">
        <v>77</v>
      </c>
      <c r="D48" s="10" t="s">
        <v>78</v>
      </c>
      <c r="E48" s="10" t="s">
        <v>79</v>
      </c>
      <c r="F48" s="10" t="s">
        <v>80</v>
      </c>
      <c r="G48" s="10" t="s">
        <v>81</v>
      </c>
      <c r="H48" s="10" t="s">
        <v>82</v>
      </c>
      <c r="I48" s="10" t="s">
        <v>83</v>
      </c>
    </row>
    <row r="49" spans="2:9" ht="15" customHeight="1" x14ac:dyDescent="0.2">
      <c r="B49" t="s">
        <v>163</v>
      </c>
      <c r="C49" s="12">
        <v>16</v>
      </c>
      <c r="D49" s="8">
        <v>5.73</v>
      </c>
      <c r="E49" s="12">
        <v>13</v>
      </c>
      <c r="F49" s="8">
        <v>9.85</v>
      </c>
      <c r="G49" s="12">
        <v>3</v>
      </c>
      <c r="H49" s="8">
        <v>2.0699999999999998</v>
      </c>
      <c r="I49" s="12">
        <v>0</v>
      </c>
    </row>
    <row r="50" spans="2:9" ht="15" customHeight="1" x14ac:dyDescent="0.2">
      <c r="B50" t="s">
        <v>164</v>
      </c>
      <c r="C50" s="12">
        <v>16</v>
      </c>
      <c r="D50" s="8">
        <v>5.73</v>
      </c>
      <c r="E50" s="12">
        <v>14</v>
      </c>
      <c r="F50" s="8">
        <v>10.61</v>
      </c>
      <c r="G50" s="12">
        <v>2</v>
      </c>
      <c r="H50" s="8">
        <v>1.38</v>
      </c>
      <c r="I50" s="12">
        <v>0</v>
      </c>
    </row>
    <row r="51" spans="2:9" ht="15" customHeight="1" x14ac:dyDescent="0.2">
      <c r="B51" t="s">
        <v>166</v>
      </c>
      <c r="C51" s="12">
        <v>11</v>
      </c>
      <c r="D51" s="8">
        <v>3.94</v>
      </c>
      <c r="E51" s="12">
        <v>10</v>
      </c>
      <c r="F51" s="8">
        <v>7.58</v>
      </c>
      <c r="G51" s="12">
        <v>1</v>
      </c>
      <c r="H51" s="8">
        <v>0.69</v>
      </c>
      <c r="I51" s="12">
        <v>0</v>
      </c>
    </row>
    <row r="52" spans="2:9" ht="15" customHeight="1" x14ac:dyDescent="0.2">
      <c r="B52" t="s">
        <v>167</v>
      </c>
      <c r="C52" s="12">
        <v>11</v>
      </c>
      <c r="D52" s="8">
        <v>3.94</v>
      </c>
      <c r="E52" s="12">
        <v>6</v>
      </c>
      <c r="F52" s="8">
        <v>4.55</v>
      </c>
      <c r="G52" s="12">
        <v>5</v>
      </c>
      <c r="H52" s="8">
        <v>3.45</v>
      </c>
      <c r="I52" s="12">
        <v>0</v>
      </c>
    </row>
    <row r="53" spans="2:9" ht="15" customHeight="1" x14ac:dyDescent="0.2">
      <c r="B53" t="s">
        <v>149</v>
      </c>
      <c r="C53" s="12">
        <v>8</v>
      </c>
      <c r="D53" s="8">
        <v>2.87</v>
      </c>
      <c r="E53" s="12">
        <v>0</v>
      </c>
      <c r="F53" s="8">
        <v>0</v>
      </c>
      <c r="G53" s="12">
        <v>8</v>
      </c>
      <c r="H53" s="8">
        <v>5.52</v>
      </c>
      <c r="I53" s="12">
        <v>0</v>
      </c>
    </row>
    <row r="54" spans="2:9" ht="15" customHeight="1" x14ac:dyDescent="0.2">
      <c r="B54" t="s">
        <v>150</v>
      </c>
      <c r="C54" s="12">
        <v>7</v>
      </c>
      <c r="D54" s="8">
        <v>2.5099999999999998</v>
      </c>
      <c r="E54" s="12">
        <v>5</v>
      </c>
      <c r="F54" s="8">
        <v>3.79</v>
      </c>
      <c r="G54" s="12">
        <v>2</v>
      </c>
      <c r="H54" s="8">
        <v>1.38</v>
      </c>
      <c r="I54" s="12">
        <v>0</v>
      </c>
    </row>
    <row r="55" spans="2:9" ht="15" customHeight="1" x14ac:dyDescent="0.2">
      <c r="B55" t="s">
        <v>190</v>
      </c>
      <c r="C55" s="12">
        <v>7</v>
      </c>
      <c r="D55" s="8">
        <v>2.5099999999999998</v>
      </c>
      <c r="E55" s="12">
        <v>5</v>
      </c>
      <c r="F55" s="8">
        <v>3.79</v>
      </c>
      <c r="G55" s="12">
        <v>2</v>
      </c>
      <c r="H55" s="8">
        <v>1.38</v>
      </c>
      <c r="I55" s="12">
        <v>0</v>
      </c>
    </row>
    <row r="56" spans="2:9" ht="15" customHeight="1" x14ac:dyDescent="0.2">
      <c r="B56" t="s">
        <v>162</v>
      </c>
      <c r="C56" s="12">
        <v>7</v>
      </c>
      <c r="D56" s="8">
        <v>2.5099999999999998</v>
      </c>
      <c r="E56" s="12">
        <v>7</v>
      </c>
      <c r="F56" s="8">
        <v>5.3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148</v>
      </c>
      <c r="C57" s="12">
        <v>6</v>
      </c>
      <c r="D57" s="8">
        <v>2.15</v>
      </c>
      <c r="E57" s="12">
        <v>0</v>
      </c>
      <c r="F57" s="8">
        <v>0</v>
      </c>
      <c r="G57" s="12">
        <v>6</v>
      </c>
      <c r="H57" s="8">
        <v>4.1399999999999997</v>
      </c>
      <c r="I57" s="12">
        <v>0</v>
      </c>
    </row>
    <row r="58" spans="2:9" ht="15" customHeight="1" x14ac:dyDescent="0.2">
      <c r="B58" t="s">
        <v>152</v>
      </c>
      <c r="C58" s="12">
        <v>6</v>
      </c>
      <c r="D58" s="8">
        <v>2.15</v>
      </c>
      <c r="E58" s="12">
        <v>1</v>
      </c>
      <c r="F58" s="8">
        <v>0.76</v>
      </c>
      <c r="G58" s="12">
        <v>5</v>
      </c>
      <c r="H58" s="8">
        <v>3.45</v>
      </c>
      <c r="I58" s="12">
        <v>0</v>
      </c>
    </row>
    <row r="59" spans="2:9" ht="15" customHeight="1" x14ac:dyDescent="0.2">
      <c r="B59" t="s">
        <v>160</v>
      </c>
      <c r="C59" s="12">
        <v>6</v>
      </c>
      <c r="D59" s="8">
        <v>2.15</v>
      </c>
      <c r="E59" s="12">
        <v>3</v>
      </c>
      <c r="F59" s="8">
        <v>2.27</v>
      </c>
      <c r="G59" s="12">
        <v>2</v>
      </c>
      <c r="H59" s="8">
        <v>1.38</v>
      </c>
      <c r="I59" s="12">
        <v>0</v>
      </c>
    </row>
    <row r="60" spans="2:9" ht="15" customHeight="1" x14ac:dyDescent="0.2">
      <c r="B60" t="s">
        <v>174</v>
      </c>
      <c r="C60" s="12">
        <v>5</v>
      </c>
      <c r="D60" s="8">
        <v>1.79</v>
      </c>
      <c r="E60" s="12">
        <v>3</v>
      </c>
      <c r="F60" s="8">
        <v>2.27</v>
      </c>
      <c r="G60" s="12">
        <v>2</v>
      </c>
      <c r="H60" s="8">
        <v>1.38</v>
      </c>
      <c r="I60" s="12">
        <v>0</v>
      </c>
    </row>
    <row r="61" spans="2:9" ht="15" customHeight="1" x14ac:dyDescent="0.2">
      <c r="B61" t="s">
        <v>153</v>
      </c>
      <c r="C61" s="12">
        <v>5</v>
      </c>
      <c r="D61" s="8">
        <v>1.79</v>
      </c>
      <c r="E61" s="12">
        <v>3</v>
      </c>
      <c r="F61" s="8">
        <v>2.27</v>
      </c>
      <c r="G61" s="12">
        <v>2</v>
      </c>
      <c r="H61" s="8">
        <v>1.38</v>
      </c>
      <c r="I61" s="12">
        <v>0</v>
      </c>
    </row>
    <row r="62" spans="2:9" ht="15" customHeight="1" x14ac:dyDescent="0.2">
      <c r="B62" t="s">
        <v>207</v>
      </c>
      <c r="C62" s="12">
        <v>5</v>
      </c>
      <c r="D62" s="8">
        <v>1.79</v>
      </c>
      <c r="E62" s="12">
        <v>1</v>
      </c>
      <c r="F62" s="8">
        <v>0.76</v>
      </c>
      <c r="G62" s="12">
        <v>4</v>
      </c>
      <c r="H62" s="8">
        <v>2.76</v>
      </c>
      <c r="I62" s="12">
        <v>0</v>
      </c>
    </row>
    <row r="63" spans="2:9" ht="15" customHeight="1" x14ac:dyDescent="0.2">
      <c r="B63" t="s">
        <v>158</v>
      </c>
      <c r="C63" s="12">
        <v>5</v>
      </c>
      <c r="D63" s="8">
        <v>1.79</v>
      </c>
      <c r="E63" s="12">
        <v>1</v>
      </c>
      <c r="F63" s="8">
        <v>0.76</v>
      </c>
      <c r="G63" s="12">
        <v>4</v>
      </c>
      <c r="H63" s="8">
        <v>2.76</v>
      </c>
      <c r="I63" s="12">
        <v>0</v>
      </c>
    </row>
    <row r="64" spans="2:9" ht="15" customHeight="1" x14ac:dyDescent="0.2">
      <c r="B64" t="s">
        <v>178</v>
      </c>
      <c r="C64" s="12">
        <v>5</v>
      </c>
      <c r="D64" s="8">
        <v>1.79</v>
      </c>
      <c r="E64" s="12">
        <v>0</v>
      </c>
      <c r="F64" s="8">
        <v>0</v>
      </c>
      <c r="G64" s="12">
        <v>5</v>
      </c>
      <c r="H64" s="8">
        <v>3.45</v>
      </c>
      <c r="I64" s="12">
        <v>0</v>
      </c>
    </row>
    <row r="65" spans="2:9" ht="15" customHeight="1" x14ac:dyDescent="0.2">
      <c r="B65" t="s">
        <v>183</v>
      </c>
      <c r="C65" s="12">
        <v>4</v>
      </c>
      <c r="D65" s="8">
        <v>1.43</v>
      </c>
      <c r="E65" s="12">
        <v>0</v>
      </c>
      <c r="F65" s="8">
        <v>0</v>
      </c>
      <c r="G65" s="12">
        <v>4</v>
      </c>
      <c r="H65" s="8">
        <v>2.76</v>
      </c>
      <c r="I65" s="12">
        <v>0</v>
      </c>
    </row>
    <row r="66" spans="2:9" ht="15" customHeight="1" x14ac:dyDescent="0.2">
      <c r="B66" t="s">
        <v>154</v>
      </c>
      <c r="C66" s="12">
        <v>4</v>
      </c>
      <c r="D66" s="8">
        <v>1.43</v>
      </c>
      <c r="E66" s="12">
        <v>4</v>
      </c>
      <c r="F66" s="8">
        <v>3.03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214</v>
      </c>
      <c r="C67" s="12">
        <v>4</v>
      </c>
      <c r="D67" s="8">
        <v>1.43</v>
      </c>
      <c r="E67" s="12">
        <v>0</v>
      </c>
      <c r="F67" s="8">
        <v>0</v>
      </c>
      <c r="G67" s="12">
        <v>4</v>
      </c>
      <c r="H67" s="8">
        <v>2.76</v>
      </c>
      <c r="I67" s="12">
        <v>0</v>
      </c>
    </row>
    <row r="68" spans="2:9" ht="15" customHeight="1" x14ac:dyDescent="0.2">
      <c r="B68" t="s">
        <v>156</v>
      </c>
      <c r="C68" s="12">
        <v>4</v>
      </c>
      <c r="D68" s="8">
        <v>1.43</v>
      </c>
      <c r="E68" s="12">
        <v>3</v>
      </c>
      <c r="F68" s="8">
        <v>2.27</v>
      </c>
      <c r="G68" s="12">
        <v>1</v>
      </c>
      <c r="H68" s="8">
        <v>0.69</v>
      </c>
      <c r="I68" s="12">
        <v>0</v>
      </c>
    </row>
    <row r="69" spans="2:9" ht="15" customHeight="1" x14ac:dyDescent="0.2">
      <c r="B69" t="s">
        <v>215</v>
      </c>
      <c r="C69" s="12">
        <v>4</v>
      </c>
      <c r="D69" s="8">
        <v>1.43</v>
      </c>
      <c r="E69" s="12">
        <v>0</v>
      </c>
      <c r="F69" s="8">
        <v>0</v>
      </c>
      <c r="G69" s="12">
        <v>4</v>
      </c>
      <c r="H69" s="8">
        <v>2.76</v>
      </c>
      <c r="I69" s="12">
        <v>0</v>
      </c>
    </row>
    <row r="70" spans="2:9" ht="15" customHeight="1" x14ac:dyDescent="0.2">
      <c r="B70" t="s">
        <v>161</v>
      </c>
      <c r="C70" s="12">
        <v>4</v>
      </c>
      <c r="D70" s="8">
        <v>1.43</v>
      </c>
      <c r="E70" s="12">
        <v>4</v>
      </c>
      <c r="F70" s="8">
        <v>3.03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179</v>
      </c>
      <c r="C71" s="12">
        <v>4</v>
      </c>
      <c r="D71" s="8">
        <v>1.43</v>
      </c>
      <c r="E71" s="12">
        <v>3</v>
      </c>
      <c r="F71" s="8">
        <v>2.27</v>
      </c>
      <c r="G71" s="12">
        <v>1</v>
      </c>
      <c r="H71" s="8">
        <v>0.69</v>
      </c>
      <c r="I71" s="12">
        <v>0</v>
      </c>
    </row>
    <row r="72" spans="2:9" ht="15" customHeight="1" x14ac:dyDescent="0.2">
      <c r="B72" t="s">
        <v>165</v>
      </c>
      <c r="C72" s="12">
        <v>4</v>
      </c>
      <c r="D72" s="8">
        <v>1.43</v>
      </c>
      <c r="E72" s="12">
        <v>4</v>
      </c>
      <c r="F72" s="8">
        <v>3.03</v>
      </c>
      <c r="G72" s="12">
        <v>0</v>
      </c>
      <c r="H72" s="8">
        <v>0</v>
      </c>
      <c r="I72" s="12">
        <v>0</v>
      </c>
    </row>
    <row r="74" spans="2:9" ht="15" customHeight="1" x14ac:dyDescent="0.2">
      <c r="B74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C7FCD-73AD-4D69-9A20-985D610CA4FE}">
  <sheetPr>
    <pageSetUpPr fitToPage="1"/>
  </sheetPr>
  <dimension ref="B2:I8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297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21</v>
      </c>
      <c r="D6" s="8">
        <v>16.8</v>
      </c>
      <c r="E6" s="12">
        <v>12</v>
      </c>
      <c r="F6" s="8">
        <v>14.29</v>
      </c>
      <c r="G6" s="12">
        <v>9</v>
      </c>
      <c r="H6" s="8">
        <v>21.95</v>
      </c>
      <c r="I6" s="12">
        <v>0</v>
      </c>
    </row>
    <row r="7" spans="2:9" ht="15" customHeight="1" x14ac:dyDescent="0.2">
      <c r="B7" t="s">
        <v>63</v>
      </c>
      <c r="C7" s="12">
        <v>16</v>
      </c>
      <c r="D7" s="8">
        <v>12.8</v>
      </c>
      <c r="E7" s="12">
        <v>9</v>
      </c>
      <c r="F7" s="8">
        <v>10.71</v>
      </c>
      <c r="G7" s="12">
        <v>7</v>
      </c>
      <c r="H7" s="8">
        <v>17.07</v>
      </c>
      <c r="I7" s="12">
        <v>0</v>
      </c>
    </row>
    <row r="8" spans="2:9" ht="15" customHeight="1" x14ac:dyDescent="0.2">
      <c r="B8" t="s">
        <v>64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66</v>
      </c>
      <c r="C10" s="12">
        <v>1</v>
      </c>
      <c r="D10" s="8">
        <v>0.8</v>
      </c>
      <c r="E10" s="12">
        <v>0</v>
      </c>
      <c r="F10" s="8">
        <v>0</v>
      </c>
      <c r="G10" s="12">
        <v>1</v>
      </c>
      <c r="H10" s="8">
        <v>2.44</v>
      </c>
      <c r="I10" s="12">
        <v>0</v>
      </c>
    </row>
    <row r="11" spans="2:9" ht="15" customHeight="1" x14ac:dyDescent="0.2">
      <c r="B11" t="s">
        <v>67</v>
      </c>
      <c r="C11" s="12">
        <v>29</v>
      </c>
      <c r="D11" s="8">
        <v>23.2</v>
      </c>
      <c r="E11" s="12">
        <v>21</v>
      </c>
      <c r="F11" s="8">
        <v>25</v>
      </c>
      <c r="G11" s="12">
        <v>8</v>
      </c>
      <c r="H11" s="8">
        <v>19.510000000000002</v>
      </c>
      <c r="I11" s="12">
        <v>0</v>
      </c>
    </row>
    <row r="12" spans="2:9" ht="15" customHeight="1" x14ac:dyDescent="0.2">
      <c r="B12" t="s">
        <v>68</v>
      </c>
      <c r="C12" s="12">
        <v>1</v>
      </c>
      <c r="D12" s="8">
        <v>0.8</v>
      </c>
      <c r="E12" s="12">
        <v>1</v>
      </c>
      <c r="F12" s="8">
        <v>1.19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69</v>
      </c>
      <c r="C13" s="12">
        <v>4</v>
      </c>
      <c r="D13" s="8">
        <v>3.2</v>
      </c>
      <c r="E13" s="12">
        <v>0</v>
      </c>
      <c r="F13" s="8">
        <v>0</v>
      </c>
      <c r="G13" s="12">
        <v>4</v>
      </c>
      <c r="H13" s="8">
        <v>9.76</v>
      </c>
      <c r="I13" s="12">
        <v>0</v>
      </c>
    </row>
    <row r="14" spans="2:9" ht="15" customHeight="1" x14ac:dyDescent="0.2">
      <c r="B14" t="s">
        <v>70</v>
      </c>
      <c r="C14" s="12">
        <v>1</v>
      </c>
      <c r="D14" s="8">
        <v>0.8</v>
      </c>
      <c r="E14" s="12">
        <v>0</v>
      </c>
      <c r="F14" s="8">
        <v>0</v>
      </c>
      <c r="G14" s="12">
        <v>1</v>
      </c>
      <c r="H14" s="8">
        <v>2.44</v>
      </c>
      <c r="I14" s="12">
        <v>0</v>
      </c>
    </row>
    <row r="15" spans="2:9" ht="15" customHeight="1" x14ac:dyDescent="0.2">
      <c r="B15" t="s">
        <v>71</v>
      </c>
      <c r="C15" s="12">
        <v>11</v>
      </c>
      <c r="D15" s="8">
        <v>8.8000000000000007</v>
      </c>
      <c r="E15" s="12">
        <v>10</v>
      </c>
      <c r="F15" s="8">
        <v>11.9</v>
      </c>
      <c r="G15" s="12">
        <v>1</v>
      </c>
      <c r="H15" s="8">
        <v>2.44</v>
      </c>
      <c r="I15" s="12">
        <v>0</v>
      </c>
    </row>
    <row r="16" spans="2:9" ht="15" customHeight="1" x14ac:dyDescent="0.2">
      <c r="B16" t="s">
        <v>72</v>
      </c>
      <c r="C16" s="12">
        <v>17</v>
      </c>
      <c r="D16" s="8">
        <v>13.6</v>
      </c>
      <c r="E16" s="12">
        <v>15</v>
      </c>
      <c r="F16" s="8">
        <v>17.86</v>
      </c>
      <c r="G16" s="12">
        <v>2</v>
      </c>
      <c r="H16" s="8">
        <v>4.88</v>
      </c>
      <c r="I16" s="12">
        <v>0</v>
      </c>
    </row>
    <row r="17" spans="2:9" ht="15" customHeight="1" x14ac:dyDescent="0.2">
      <c r="B17" t="s">
        <v>73</v>
      </c>
      <c r="C17" s="12">
        <v>8</v>
      </c>
      <c r="D17" s="8">
        <v>6.4</v>
      </c>
      <c r="E17" s="12">
        <v>6</v>
      </c>
      <c r="F17" s="8">
        <v>7.14</v>
      </c>
      <c r="G17" s="12">
        <v>2</v>
      </c>
      <c r="H17" s="8">
        <v>4.88</v>
      </c>
      <c r="I17" s="12">
        <v>0</v>
      </c>
    </row>
    <row r="18" spans="2:9" ht="15" customHeight="1" x14ac:dyDescent="0.2">
      <c r="B18" t="s">
        <v>74</v>
      </c>
      <c r="C18" s="12">
        <v>9</v>
      </c>
      <c r="D18" s="8">
        <v>7.2</v>
      </c>
      <c r="E18" s="12">
        <v>5</v>
      </c>
      <c r="F18" s="8">
        <v>5.95</v>
      </c>
      <c r="G18" s="12">
        <v>4</v>
      </c>
      <c r="H18" s="8">
        <v>9.76</v>
      </c>
      <c r="I18" s="12">
        <v>0</v>
      </c>
    </row>
    <row r="19" spans="2:9" ht="15" customHeight="1" x14ac:dyDescent="0.2">
      <c r="B19" t="s">
        <v>75</v>
      </c>
      <c r="C19" s="12">
        <v>7</v>
      </c>
      <c r="D19" s="8">
        <v>5.6</v>
      </c>
      <c r="E19" s="12">
        <v>5</v>
      </c>
      <c r="F19" s="8">
        <v>5.95</v>
      </c>
      <c r="G19" s="12">
        <v>2</v>
      </c>
      <c r="H19" s="8">
        <v>4.88</v>
      </c>
      <c r="I19" s="12">
        <v>0</v>
      </c>
    </row>
    <row r="20" spans="2:9" ht="15" customHeight="1" x14ac:dyDescent="0.2">
      <c r="B20" s="9" t="s">
        <v>248</v>
      </c>
      <c r="C20" s="12">
        <f>SUM(LTBL_12342[総数／事業所数])</f>
        <v>125</v>
      </c>
      <c r="E20" s="12">
        <f>SUBTOTAL(109,LTBL_12342[個人／事業所数])</f>
        <v>84</v>
      </c>
      <c r="G20" s="12">
        <f>SUBTOTAL(109,LTBL_12342[法人／事業所数])</f>
        <v>41</v>
      </c>
      <c r="I20" s="12">
        <f>SUBTOTAL(109,LTBL_12342[法人以外の団体／事業所数])</f>
        <v>0</v>
      </c>
    </row>
    <row r="21" spans="2:9" ht="15" customHeight="1" x14ac:dyDescent="0.2">
      <c r="E21" s="11">
        <f>LTBL_12342[[#Totals],[個人／事業所数]]/LTBL_12342[[#Totals],[総数／事業所数]]</f>
        <v>0.67200000000000004</v>
      </c>
      <c r="G21" s="11">
        <f>LTBL_12342[[#Totals],[法人／事業所数]]/LTBL_12342[[#Totals],[総数／事業所数]]</f>
        <v>0.32800000000000001</v>
      </c>
      <c r="I21" s="11">
        <f>LTBL_12342[[#Totals],[法人以外の団体／事業所数]]/LTBL_12342[[#Totals],[総数／事業所数]]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15</v>
      </c>
      <c r="D24" s="8">
        <v>12</v>
      </c>
      <c r="E24" s="12">
        <v>15</v>
      </c>
      <c r="F24" s="8">
        <v>17.86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84</v>
      </c>
      <c r="C25" s="12">
        <v>13</v>
      </c>
      <c r="D25" s="8">
        <v>10.4</v>
      </c>
      <c r="E25" s="12">
        <v>7</v>
      </c>
      <c r="F25" s="8">
        <v>8.33</v>
      </c>
      <c r="G25" s="12">
        <v>6</v>
      </c>
      <c r="H25" s="8">
        <v>14.63</v>
      </c>
      <c r="I25" s="12">
        <v>0</v>
      </c>
    </row>
    <row r="26" spans="2:9" ht="15" customHeight="1" x14ac:dyDescent="0.2">
      <c r="B26" t="s">
        <v>90</v>
      </c>
      <c r="C26" s="12">
        <v>10</v>
      </c>
      <c r="D26" s="8">
        <v>8</v>
      </c>
      <c r="E26" s="12">
        <v>9</v>
      </c>
      <c r="F26" s="8">
        <v>10.71</v>
      </c>
      <c r="G26" s="12">
        <v>1</v>
      </c>
      <c r="H26" s="8">
        <v>2.44</v>
      </c>
      <c r="I26" s="12">
        <v>0</v>
      </c>
    </row>
    <row r="27" spans="2:9" ht="15" customHeight="1" x14ac:dyDescent="0.2">
      <c r="B27" t="s">
        <v>97</v>
      </c>
      <c r="C27" s="12">
        <v>10</v>
      </c>
      <c r="D27" s="8">
        <v>8</v>
      </c>
      <c r="E27" s="12">
        <v>10</v>
      </c>
      <c r="F27" s="8">
        <v>11.9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92</v>
      </c>
      <c r="C28" s="12">
        <v>9</v>
      </c>
      <c r="D28" s="8">
        <v>7.2</v>
      </c>
      <c r="E28" s="12">
        <v>7</v>
      </c>
      <c r="F28" s="8">
        <v>8.33</v>
      </c>
      <c r="G28" s="12">
        <v>2</v>
      </c>
      <c r="H28" s="8">
        <v>4.88</v>
      </c>
      <c r="I28" s="12">
        <v>0</v>
      </c>
    </row>
    <row r="29" spans="2:9" ht="15" customHeight="1" x14ac:dyDescent="0.2">
      <c r="B29" t="s">
        <v>100</v>
      </c>
      <c r="C29" s="12">
        <v>8</v>
      </c>
      <c r="D29" s="8">
        <v>6.4</v>
      </c>
      <c r="E29" s="12">
        <v>6</v>
      </c>
      <c r="F29" s="8">
        <v>7.14</v>
      </c>
      <c r="G29" s="12">
        <v>2</v>
      </c>
      <c r="H29" s="8">
        <v>4.88</v>
      </c>
      <c r="I29" s="12">
        <v>0</v>
      </c>
    </row>
    <row r="30" spans="2:9" ht="15" customHeight="1" x14ac:dyDescent="0.2">
      <c r="B30" t="s">
        <v>101</v>
      </c>
      <c r="C30" s="12">
        <v>6</v>
      </c>
      <c r="D30" s="8">
        <v>4.8</v>
      </c>
      <c r="E30" s="12">
        <v>5</v>
      </c>
      <c r="F30" s="8">
        <v>5.95</v>
      </c>
      <c r="G30" s="12">
        <v>1</v>
      </c>
      <c r="H30" s="8">
        <v>2.44</v>
      </c>
      <c r="I30" s="12">
        <v>0</v>
      </c>
    </row>
    <row r="31" spans="2:9" ht="15" customHeight="1" x14ac:dyDescent="0.2">
      <c r="B31" t="s">
        <v>85</v>
      </c>
      <c r="C31" s="12">
        <v>5</v>
      </c>
      <c r="D31" s="8">
        <v>4</v>
      </c>
      <c r="E31" s="12">
        <v>4</v>
      </c>
      <c r="F31" s="8">
        <v>4.76</v>
      </c>
      <c r="G31" s="12">
        <v>1</v>
      </c>
      <c r="H31" s="8">
        <v>2.44</v>
      </c>
      <c r="I31" s="12">
        <v>0</v>
      </c>
    </row>
    <row r="32" spans="2:9" ht="15" customHeight="1" x14ac:dyDescent="0.2">
      <c r="B32" t="s">
        <v>106</v>
      </c>
      <c r="C32" s="12">
        <v>5</v>
      </c>
      <c r="D32" s="8">
        <v>4</v>
      </c>
      <c r="E32" s="12">
        <v>3</v>
      </c>
      <c r="F32" s="8">
        <v>3.57</v>
      </c>
      <c r="G32" s="12">
        <v>2</v>
      </c>
      <c r="H32" s="8">
        <v>4.88</v>
      </c>
      <c r="I32" s="12">
        <v>0</v>
      </c>
    </row>
    <row r="33" spans="2:9" ht="15" customHeight="1" x14ac:dyDescent="0.2">
      <c r="B33" t="s">
        <v>103</v>
      </c>
      <c r="C33" s="12">
        <v>5</v>
      </c>
      <c r="D33" s="8">
        <v>4</v>
      </c>
      <c r="E33" s="12">
        <v>5</v>
      </c>
      <c r="F33" s="8">
        <v>5.95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86</v>
      </c>
      <c r="C34" s="12">
        <v>3</v>
      </c>
      <c r="D34" s="8">
        <v>2.4</v>
      </c>
      <c r="E34" s="12">
        <v>1</v>
      </c>
      <c r="F34" s="8">
        <v>1.19</v>
      </c>
      <c r="G34" s="12">
        <v>2</v>
      </c>
      <c r="H34" s="8">
        <v>4.88</v>
      </c>
      <c r="I34" s="12">
        <v>0</v>
      </c>
    </row>
    <row r="35" spans="2:9" ht="15" customHeight="1" x14ac:dyDescent="0.2">
      <c r="B35" t="s">
        <v>109</v>
      </c>
      <c r="C35" s="12">
        <v>3</v>
      </c>
      <c r="D35" s="8">
        <v>2.4</v>
      </c>
      <c r="E35" s="12">
        <v>1</v>
      </c>
      <c r="F35" s="8">
        <v>1.19</v>
      </c>
      <c r="G35" s="12">
        <v>2</v>
      </c>
      <c r="H35" s="8">
        <v>4.88</v>
      </c>
      <c r="I35" s="12">
        <v>0</v>
      </c>
    </row>
    <row r="36" spans="2:9" ht="15" customHeight="1" x14ac:dyDescent="0.2">
      <c r="B36" t="s">
        <v>91</v>
      </c>
      <c r="C36" s="12">
        <v>3</v>
      </c>
      <c r="D36" s="8">
        <v>2.4</v>
      </c>
      <c r="E36" s="12">
        <v>2</v>
      </c>
      <c r="F36" s="8">
        <v>2.38</v>
      </c>
      <c r="G36" s="12">
        <v>1</v>
      </c>
      <c r="H36" s="8">
        <v>2.44</v>
      </c>
      <c r="I36" s="12">
        <v>0</v>
      </c>
    </row>
    <row r="37" spans="2:9" ht="15" customHeight="1" x14ac:dyDescent="0.2">
      <c r="B37" t="s">
        <v>94</v>
      </c>
      <c r="C37" s="12">
        <v>3</v>
      </c>
      <c r="D37" s="8">
        <v>2.4</v>
      </c>
      <c r="E37" s="12">
        <v>0</v>
      </c>
      <c r="F37" s="8">
        <v>0</v>
      </c>
      <c r="G37" s="12">
        <v>3</v>
      </c>
      <c r="H37" s="8">
        <v>7.32</v>
      </c>
      <c r="I37" s="12">
        <v>0</v>
      </c>
    </row>
    <row r="38" spans="2:9" ht="15" customHeight="1" x14ac:dyDescent="0.2">
      <c r="B38" t="s">
        <v>102</v>
      </c>
      <c r="C38" s="12">
        <v>3</v>
      </c>
      <c r="D38" s="8">
        <v>2.4</v>
      </c>
      <c r="E38" s="12">
        <v>0</v>
      </c>
      <c r="F38" s="8">
        <v>0</v>
      </c>
      <c r="G38" s="12">
        <v>3</v>
      </c>
      <c r="H38" s="8">
        <v>7.32</v>
      </c>
      <c r="I38" s="12">
        <v>0</v>
      </c>
    </row>
    <row r="39" spans="2:9" ht="15" customHeight="1" x14ac:dyDescent="0.2">
      <c r="B39" t="s">
        <v>110</v>
      </c>
      <c r="C39" s="12">
        <v>2</v>
      </c>
      <c r="D39" s="8">
        <v>1.6</v>
      </c>
      <c r="E39" s="12">
        <v>1</v>
      </c>
      <c r="F39" s="8">
        <v>1.19</v>
      </c>
      <c r="G39" s="12">
        <v>1</v>
      </c>
      <c r="H39" s="8">
        <v>2.44</v>
      </c>
      <c r="I39" s="12">
        <v>0</v>
      </c>
    </row>
    <row r="40" spans="2:9" ht="15" customHeight="1" x14ac:dyDescent="0.2">
      <c r="B40" t="s">
        <v>129</v>
      </c>
      <c r="C40" s="12">
        <v>2</v>
      </c>
      <c r="D40" s="8">
        <v>1.6</v>
      </c>
      <c r="E40" s="12">
        <v>1</v>
      </c>
      <c r="F40" s="8">
        <v>1.19</v>
      </c>
      <c r="G40" s="12">
        <v>1</v>
      </c>
      <c r="H40" s="8">
        <v>2.44</v>
      </c>
      <c r="I40" s="12">
        <v>0</v>
      </c>
    </row>
    <row r="41" spans="2:9" ht="15" customHeight="1" x14ac:dyDescent="0.2">
      <c r="B41" t="s">
        <v>89</v>
      </c>
      <c r="C41" s="12">
        <v>2</v>
      </c>
      <c r="D41" s="8">
        <v>1.6</v>
      </c>
      <c r="E41" s="12">
        <v>1</v>
      </c>
      <c r="F41" s="8">
        <v>1.19</v>
      </c>
      <c r="G41" s="12">
        <v>1</v>
      </c>
      <c r="H41" s="8">
        <v>2.44</v>
      </c>
      <c r="I41" s="12">
        <v>0</v>
      </c>
    </row>
    <row r="42" spans="2:9" ht="15" customHeight="1" x14ac:dyDescent="0.2">
      <c r="B42" t="s">
        <v>99</v>
      </c>
      <c r="C42" s="12">
        <v>2</v>
      </c>
      <c r="D42" s="8">
        <v>1.6</v>
      </c>
      <c r="E42" s="12">
        <v>0</v>
      </c>
      <c r="F42" s="8">
        <v>0</v>
      </c>
      <c r="G42" s="12">
        <v>2</v>
      </c>
      <c r="H42" s="8">
        <v>4.88</v>
      </c>
      <c r="I42" s="12">
        <v>0</v>
      </c>
    </row>
    <row r="43" spans="2:9" ht="15" customHeight="1" x14ac:dyDescent="0.2">
      <c r="B43" t="s">
        <v>123</v>
      </c>
      <c r="C43" s="12">
        <v>1</v>
      </c>
      <c r="D43" s="8">
        <v>0.8</v>
      </c>
      <c r="E43" s="12">
        <v>1</v>
      </c>
      <c r="F43" s="8">
        <v>1.19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124</v>
      </c>
      <c r="C44" s="12">
        <v>1</v>
      </c>
      <c r="D44" s="8">
        <v>0.8</v>
      </c>
      <c r="E44" s="12">
        <v>1</v>
      </c>
      <c r="F44" s="8">
        <v>1.19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125</v>
      </c>
      <c r="C45" s="12">
        <v>1</v>
      </c>
      <c r="D45" s="8">
        <v>0.8</v>
      </c>
      <c r="E45" s="12">
        <v>0</v>
      </c>
      <c r="F45" s="8">
        <v>0</v>
      </c>
      <c r="G45" s="12">
        <v>1</v>
      </c>
      <c r="H45" s="8">
        <v>2.44</v>
      </c>
      <c r="I45" s="12">
        <v>0</v>
      </c>
    </row>
    <row r="46" spans="2:9" ht="15" customHeight="1" x14ac:dyDescent="0.2">
      <c r="B46" t="s">
        <v>126</v>
      </c>
      <c r="C46" s="12">
        <v>1</v>
      </c>
      <c r="D46" s="8">
        <v>0.8</v>
      </c>
      <c r="E46" s="12">
        <v>0</v>
      </c>
      <c r="F46" s="8">
        <v>0</v>
      </c>
      <c r="G46" s="12">
        <v>1</v>
      </c>
      <c r="H46" s="8">
        <v>2.44</v>
      </c>
      <c r="I46" s="12">
        <v>0</v>
      </c>
    </row>
    <row r="47" spans="2:9" ht="15" customHeight="1" x14ac:dyDescent="0.2">
      <c r="B47" t="s">
        <v>127</v>
      </c>
      <c r="C47" s="12">
        <v>1</v>
      </c>
      <c r="D47" s="8">
        <v>0.8</v>
      </c>
      <c r="E47" s="12">
        <v>1</v>
      </c>
      <c r="F47" s="8">
        <v>1.19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128</v>
      </c>
      <c r="C48" s="12">
        <v>1</v>
      </c>
      <c r="D48" s="8">
        <v>0.8</v>
      </c>
      <c r="E48" s="12">
        <v>1</v>
      </c>
      <c r="F48" s="8">
        <v>1.19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117</v>
      </c>
      <c r="C49" s="12">
        <v>1</v>
      </c>
      <c r="D49" s="8">
        <v>0.8</v>
      </c>
      <c r="E49" s="12">
        <v>0</v>
      </c>
      <c r="F49" s="8">
        <v>0</v>
      </c>
      <c r="G49" s="12">
        <v>1</v>
      </c>
      <c r="H49" s="8">
        <v>2.44</v>
      </c>
      <c r="I49" s="12">
        <v>0</v>
      </c>
    </row>
    <row r="50" spans="2:9" ht="15" customHeight="1" x14ac:dyDescent="0.2">
      <c r="B50" t="s">
        <v>114</v>
      </c>
      <c r="C50" s="12">
        <v>1</v>
      </c>
      <c r="D50" s="8">
        <v>0.8</v>
      </c>
      <c r="E50" s="12">
        <v>0</v>
      </c>
      <c r="F50" s="8">
        <v>0</v>
      </c>
      <c r="G50" s="12">
        <v>1</v>
      </c>
      <c r="H50" s="8">
        <v>2.44</v>
      </c>
      <c r="I50" s="12">
        <v>0</v>
      </c>
    </row>
    <row r="51" spans="2:9" ht="15" customHeight="1" x14ac:dyDescent="0.2">
      <c r="B51" t="s">
        <v>87</v>
      </c>
      <c r="C51" s="12">
        <v>1</v>
      </c>
      <c r="D51" s="8">
        <v>0.8</v>
      </c>
      <c r="E51" s="12">
        <v>0</v>
      </c>
      <c r="F51" s="8">
        <v>0</v>
      </c>
      <c r="G51" s="12">
        <v>1</v>
      </c>
      <c r="H51" s="8">
        <v>2.44</v>
      </c>
      <c r="I51" s="12">
        <v>0</v>
      </c>
    </row>
    <row r="52" spans="2:9" ht="15" customHeight="1" x14ac:dyDescent="0.2">
      <c r="B52" t="s">
        <v>104</v>
      </c>
      <c r="C52" s="12">
        <v>1</v>
      </c>
      <c r="D52" s="8">
        <v>0.8</v>
      </c>
      <c r="E52" s="12">
        <v>1</v>
      </c>
      <c r="F52" s="8">
        <v>1.19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113</v>
      </c>
      <c r="C53" s="12">
        <v>1</v>
      </c>
      <c r="D53" s="8">
        <v>0.8</v>
      </c>
      <c r="E53" s="12">
        <v>1</v>
      </c>
      <c r="F53" s="8">
        <v>1.19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118</v>
      </c>
      <c r="C54" s="12">
        <v>1</v>
      </c>
      <c r="D54" s="8">
        <v>0.8</v>
      </c>
      <c r="E54" s="12">
        <v>0</v>
      </c>
      <c r="F54" s="8">
        <v>0</v>
      </c>
      <c r="G54" s="12">
        <v>1</v>
      </c>
      <c r="H54" s="8">
        <v>2.44</v>
      </c>
      <c r="I54" s="12">
        <v>0</v>
      </c>
    </row>
    <row r="55" spans="2:9" ht="15" customHeight="1" x14ac:dyDescent="0.2">
      <c r="B55" t="s">
        <v>96</v>
      </c>
      <c r="C55" s="12">
        <v>1</v>
      </c>
      <c r="D55" s="8">
        <v>0.8</v>
      </c>
      <c r="E55" s="12">
        <v>0</v>
      </c>
      <c r="F55" s="8">
        <v>0</v>
      </c>
      <c r="G55" s="12">
        <v>1</v>
      </c>
      <c r="H55" s="8">
        <v>2.44</v>
      </c>
      <c r="I55" s="12">
        <v>0</v>
      </c>
    </row>
    <row r="56" spans="2:9" ht="15" customHeight="1" x14ac:dyDescent="0.2">
      <c r="B56" t="s">
        <v>107</v>
      </c>
      <c r="C56" s="12">
        <v>1</v>
      </c>
      <c r="D56" s="8">
        <v>0.8</v>
      </c>
      <c r="E56" s="12">
        <v>0</v>
      </c>
      <c r="F56" s="8">
        <v>0</v>
      </c>
      <c r="G56" s="12">
        <v>1</v>
      </c>
      <c r="H56" s="8">
        <v>2.44</v>
      </c>
      <c r="I56" s="12">
        <v>0</v>
      </c>
    </row>
    <row r="57" spans="2:9" ht="15" customHeight="1" x14ac:dyDescent="0.2">
      <c r="B57" t="s">
        <v>130</v>
      </c>
      <c r="C57" s="12">
        <v>1</v>
      </c>
      <c r="D57" s="8">
        <v>0.8</v>
      </c>
      <c r="E57" s="12">
        <v>0</v>
      </c>
      <c r="F57" s="8">
        <v>0</v>
      </c>
      <c r="G57" s="12">
        <v>1</v>
      </c>
      <c r="H57" s="8">
        <v>2.44</v>
      </c>
      <c r="I57" s="12">
        <v>0</v>
      </c>
    </row>
    <row r="58" spans="2:9" ht="15" customHeight="1" x14ac:dyDescent="0.2">
      <c r="B58" t="s">
        <v>105</v>
      </c>
      <c r="C58" s="12">
        <v>1</v>
      </c>
      <c r="D58" s="8">
        <v>0.8</v>
      </c>
      <c r="E58" s="12">
        <v>0</v>
      </c>
      <c r="F58" s="8">
        <v>0</v>
      </c>
      <c r="G58" s="12">
        <v>1</v>
      </c>
      <c r="H58" s="8">
        <v>2.44</v>
      </c>
      <c r="I58" s="12">
        <v>0</v>
      </c>
    </row>
    <row r="61" spans="2:9" ht="33" customHeight="1" x14ac:dyDescent="0.2">
      <c r="B61" t="s">
        <v>250</v>
      </c>
      <c r="C61" s="10" t="s">
        <v>77</v>
      </c>
      <c r="D61" s="10" t="s">
        <v>78</v>
      </c>
      <c r="E61" s="10" t="s">
        <v>79</v>
      </c>
      <c r="F61" s="10" t="s">
        <v>80</v>
      </c>
      <c r="G61" s="10" t="s">
        <v>81</v>
      </c>
      <c r="H61" s="10" t="s">
        <v>82</v>
      </c>
      <c r="I61" s="10" t="s">
        <v>83</v>
      </c>
    </row>
    <row r="62" spans="2:9" ht="15" customHeight="1" x14ac:dyDescent="0.2">
      <c r="B62" t="s">
        <v>150</v>
      </c>
      <c r="C62" s="12">
        <v>6</v>
      </c>
      <c r="D62" s="8">
        <v>4.8</v>
      </c>
      <c r="E62" s="12">
        <v>5</v>
      </c>
      <c r="F62" s="8">
        <v>5.95</v>
      </c>
      <c r="G62" s="12">
        <v>1</v>
      </c>
      <c r="H62" s="8">
        <v>2.44</v>
      </c>
      <c r="I62" s="12">
        <v>0</v>
      </c>
    </row>
    <row r="63" spans="2:9" ht="15" customHeight="1" x14ac:dyDescent="0.2">
      <c r="B63" t="s">
        <v>163</v>
      </c>
      <c r="C63" s="12">
        <v>6</v>
      </c>
      <c r="D63" s="8">
        <v>4.8</v>
      </c>
      <c r="E63" s="12">
        <v>6</v>
      </c>
      <c r="F63" s="8">
        <v>7.14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164</v>
      </c>
      <c r="C64" s="12">
        <v>5</v>
      </c>
      <c r="D64" s="8">
        <v>4</v>
      </c>
      <c r="E64" s="12">
        <v>5</v>
      </c>
      <c r="F64" s="8">
        <v>5.95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165</v>
      </c>
      <c r="C65" s="12">
        <v>5</v>
      </c>
      <c r="D65" s="8">
        <v>4</v>
      </c>
      <c r="E65" s="12">
        <v>5</v>
      </c>
      <c r="F65" s="8">
        <v>5.95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167</v>
      </c>
      <c r="C66" s="12">
        <v>5</v>
      </c>
      <c r="D66" s="8">
        <v>4</v>
      </c>
      <c r="E66" s="12">
        <v>5</v>
      </c>
      <c r="F66" s="8">
        <v>5.95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148</v>
      </c>
      <c r="C67" s="12">
        <v>4</v>
      </c>
      <c r="D67" s="8">
        <v>3.2</v>
      </c>
      <c r="E67" s="12">
        <v>0</v>
      </c>
      <c r="F67" s="8">
        <v>0</v>
      </c>
      <c r="G67" s="12">
        <v>4</v>
      </c>
      <c r="H67" s="8">
        <v>9.76</v>
      </c>
      <c r="I67" s="12">
        <v>0</v>
      </c>
    </row>
    <row r="68" spans="2:9" ht="15" customHeight="1" x14ac:dyDescent="0.2">
      <c r="B68" t="s">
        <v>154</v>
      </c>
      <c r="C68" s="12">
        <v>4</v>
      </c>
      <c r="D68" s="8">
        <v>3.2</v>
      </c>
      <c r="E68" s="12">
        <v>4</v>
      </c>
      <c r="F68" s="8">
        <v>4.76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161</v>
      </c>
      <c r="C69" s="12">
        <v>4</v>
      </c>
      <c r="D69" s="8">
        <v>3.2</v>
      </c>
      <c r="E69" s="12">
        <v>4</v>
      </c>
      <c r="F69" s="8">
        <v>4.76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203</v>
      </c>
      <c r="C70" s="12">
        <v>3</v>
      </c>
      <c r="D70" s="8">
        <v>2.4</v>
      </c>
      <c r="E70" s="12">
        <v>1</v>
      </c>
      <c r="F70" s="8">
        <v>1.19</v>
      </c>
      <c r="G70" s="12">
        <v>2</v>
      </c>
      <c r="H70" s="8">
        <v>4.88</v>
      </c>
      <c r="I70" s="12">
        <v>0</v>
      </c>
    </row>
    <row r="71" spans="2:9" ht="15" customHeight="1" x14ac:dyDescent="0.2">
      <c r="B71" t="s">
        <v>198</v>
      </c>
      <c r="C71" s="12">
        <v>3</v>
      </c>
      <c r="D71" s="8">
        <v>2.4</v>
      </c>
      <c r="E71" s="12">
        <v>2</v>
      </c>
      <c r="F71" s="8">
        <v>2.38</v>
      </c>
      <c r="G71" s="12">
        <v>1</v>
      </c>
      <c r="H71" s="8">
        <v>2.44</v>
      </c>
      <c r="I71" s="12">
        <v>0</v>
      </c>
    </row>
    <row r="72" spans="2:9" ht="15" customHeight="1" x14ac:dyDescent="0.2">
      <c r="B72" t="s">
        <v>190</v>
      </c>
      <c r="C72" s="12">
        <v>3</v>
      </c>
      <c r="D72" s="8">
        <v>2.4</v>
      </c>
      <c r="E72" s="12">
        <v>3</v>
      </c>
      <c r="F72" s="8">
        <v>3.57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156</v>
      </c>
      <c r="C73" s="12">
        <v>3</v>
      </c>
      <c r="D73" s="8">
        <v>2.4</v>
      </c>
      <c r="E73" s="12">
        <v>3</v>
      </c>
      <c r="F73" s="8">
        <v>3.57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169</v>
      </c>
      <c r="C74" s="12">
        <v>3</v>
      </c>
      <c r="D74" s="8">
        <v>2.4</v>
      </c>
      <c r="E74" s="12">
        <v>3</v>
      </c>
      <c r="F74" s="8">
        <v>3.57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166</v>
      </c>
      <c r="C75" s="12">
        <v>3</v>
      </c>
      <c r="D75" s="8">
        <v>2.4</v>
      </c>
      <c r="E75" s="12">
        <v>2</v>
      </c>
      <c r="F75" s="8">
        <v>2.38</v>
      </c>
      <c r="G75" s="12">
        <v>1</v>
      </c>
      <c r="H75" s="8">
        <v>2.44</v>
      </c>
      <c r="I75" s="12">
        <v>0</v>
      </c>
    </row>
    <row r="76" spans="2:9" ht="15" customHeight="1" x14ac:dyDescent="0.2">
      <c r="B76" t="s">
        <v>149</v>
      </c>
      <c r="C76" s="12">
        <v>2</v>
      </c>
      <c r="D76" s="8">
        <v>1.6</v>
      </c>
      <c r="E76" s="12">
        <v>1</v>
      </c>
      <c r="F76" s="8">
        <v>1.19</v>
      </c>
      <c r="G76" s="12">
        <v>1</v>
      </c>
      <c r="H76" s="8">
        <v>2.44</v>
      </c>
      <c r="I76" s="12">
        <v>0</v>
      </c>
    </row>
    <row r="77" spans="2:9" ht="15" customHeight="1" x14ac:dyDescent="0.2">
      <c r="B77" t="s">
        <v>174</v>
      </c>
      <c r="C77" s="12">
        <v>2</v>
      </c>
      <c r="D77" s="8">
        <v>1.6</v>
      </c>
      <c r="E77" s="12">
        <v>2</v>
      </c>
      <c r="F77" s="8">
        <v>2.38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152</v>
      </c>
      <c r="C78" s="12">
        <v>2</v>
      </c>
      <c r="D78" s="8">
        <v>1.6</v>
      </c>
      <c r="E78" s="12">
        <v>1</v>
      </c>
      <c r="F78" s="8">
        <v>1.19</v>
      </c>
      <c r="G78" s="12">
        <v>1</v>
      </c>
      <c r="H78" s="8">
        <v>2.44</v>
      </c>
      <c r="I78" s="12">
        <v>0</v>
      </c>
    </row>
    <row r="79" spans="2:9" ht="15" customHeight="1" x14ac:dyDescent="0.2">
      <c r="B79" t="s">
        <v>216</v>
      </c>
      <c r="C79" s="12">
        <v>2</v>
      </c>
      <c r="D79" s="8">
        <v>1.6</v>
      </c>
      <c r="E79" s="12">
        <v>1</v>
      </c>
      <c r="F79" s="8">
        <v>1.19</v>
      </c>
      <c r="G79" s="12">
        <v>1</v>
      </c>
      <c r="H79" s="8">
        <v>2.44</v>
      </c>
      <c r="I79" s="12">
        <v>0</v>
      </c>
    </row>
    <row r="80" spans="2:9" ht="15" customHeight="1" x14ac:dyDescent="0.2">
      <c r="B80" t="s">
        <v>217</v>
      </c>
      <c r="C80" s="12">
        <v>2</v>
      </c>
      <c r="D80" s="8">
        <v>1.6</v>
      </c>
      <c r="E80" s="12">
        <v>1</v>
      </c>
      <c r="F80" s="8">
        <v>1.19</v>
      </c>
      <c r="G80" s="12">
        <v>1</v>
      </c>
      <c r="H80" s="8">
        <v>2.44</v>
      </c>
      <c r="I80" s="12">
        <v>0</v>
      </c>
    </row>
    <row r="81" spans="2:9" ht="15" customHeight="1" x14ac:dyDescent="0.2">
      <c r="B81" t="s">
        <v>218</v>
      </c>
      <c r="C81" s="12">
        <v>2</v>
      </c>
      <c r="D81" s="8">
        <v>1.6</v>
      </c>
      <c r="E81" s="12">
        <v>1</v>
      </c>
      <c r="F81" s="8">
        <v>1.19</v>
      </c>
      <c r="G81" s="12">
        <v>1</v>
      </c>
      <c r="H81" s="8">
        <v>2.44</v>
      </c>
      <c r="I81" s="12">
        <v>0</v>
      </c>
    </row>
    <row r="82" spans="2:9" ht="15" customHeight="1" x14ac:dyDescent="0.2">
      <c r="B82" t="s">
        <v>219</v>
      </c>
      <c r="C82" s="12">
        <v>2</v>
      </c>
      <c r="D82" s="8">
        <v>1.6</v>
      </c>
      <c r="E82" s="12">
        <v>2</v>
      </c>
      <c r="F82" s="8">
        <v>2.38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191</v>
      </c>
      <c r="C83" s="12">
        <v>2</v>
      </c>
      <c r="D83" s="8">
        <v>1.6</v>
      </c>
      <c r="E83" s="12">
        <v>1</v>
      </c>
      <c r="F83" s="8">
        <v>1.19</v>
      </c>
      <c r="G83" s="12">
        <v>1</v>
      </c>
      <c r="H83" s="8">
        <v>2.44</v>
      </c>
      <c r="I83" s="12">
        <v>0</v>
      </c>
    </row>
    <row r="84" spans="2:9" ht="15" customHeight="1" x14ac:dyDescent="0.2">
      <c r="B84" t="s">
        <v>158</v>
      </c>
      <c r="C84" s="12">
        <v>2</v>
      </c>
      <c r="D84" s="8">
        <v>1.6</v>
      </c>
      <c r="E84" s="12">
        <v>0</v>
      </c>
      <c r="F84" s="8">
        <v>0</v>
      </c>
      <c r="G84" s="12">
        <v>2</v>
      </c>
      <c r="H84" s="8">
        <v>4.88</v>
      </c>
      <c r="I84" s="12">
        <v>0</v>
      </c>
    </row>
    <row r="85" spans="2:9" ht="15" customHeight="1" x14ac:dyDescent="0.2">
      <c r="B85" t="s">
        <v>162</v>
      </c>
      <c r="C85" s="12">
        <v>2</v>
      </c>
      <c r="D85" s="8">
        <v>1.6</v>
      </c>
      <c r="E85" s="12">
        <v>2</v>
      </c>
      <c r="F85" s="8">
        <v>2.38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220</v>
      </c>
      <c r="C86" s="12">
        <v>2</v>
      </c>
      <c r="D86" s="8">
        <v>1.6</v>
      </c>
      <c r="E86" s="12">
        <v>2</v>
      </c>
      <c r="F86" s="8">
        <v>2.38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181</v>
      </c>
      <c r="C87" s="12">
        <v>2</v>
      </c>
      <c r="D87" s="8">
        <v>1.6</v>
      </c>
      <c r="E87" s="12">
        <v>0</v>
      </c>
      <c r="F87" s="8">
        <v>0</v>
      </c>
      <c r="G87" s="12">
        <v>2</v>
      </c>
      <c r="H87" s="8">
        <v>4.88</v>
      </c>
      <c r="I87" s="12">
        <v>0</v>
      </c>
    </row>
    <row r="89" spans="2:9" ht="15" customHeight="1" x14ac:dyDescent="0.2">
      <c r="B89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AA94D-7E40-42D6-B4D3-5CACC43CEF5A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298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2</v>
      </c>
      <c r="D5" s="8">
        <v>0.47</v>
      </c>
      <c r="E5" s="12">
        <v>1</v>
      </c>
      <c r="F5" s="8">
        <v>0.38</v>
      </c>
      <c r="G5" s="12">
        <v>1</v>
      </c>
      <c r="H5" s="8">
        <v>0.63</v>
      </c>
      <c r="I5" s="12">
        <v>0</v>
      </c>
    </row>
    <row r="6" spans="2:9" ht="15" customHeight="1" x14ac:dyDescent="0.2">
      <c r="B6" t="s">
        <v>62</v>
      </c>
      <c r="C6" s="12">
        <v>98</v>
      </c>
      <c r="D6" s="8">
        <v>23</v>
      </c>
      <c r="E6" s="12">
        <v>59</v>
      </c>
      <c r="F6" s="8">
        <v>22.26</v>
      </c>
      <c r="G6" s="12">
        <v>39</v>
      </c>
      <c r="H6" s="8">
        <v>24.68</v>
      </c>
      <c r="I6" s="12">
        <v>0</v>
      </c>
    </row>
    <row r="7" spans="2:9" ht="15" customHeight="1" x14ac:dyDescent="0.2">
      <c r="B7" t="s">
        <v>63</v>
      </c>
      <c r="C7" s="12">
        <v>26</v>
      </c>
      <c r="D7" s="8">
        <v>6.1</v>
      </c>
      <c r="E7" s="12">
        <v>7</v>
      </c>
      <c r="F7" s="8">
        <v>2.64</v>
      </c>
      <c r="G7" s="12">
        <v>19</v>
      </c>
      <c r="H7" s="8">
        <v>12.03</v>
      </c>
      <c r="I7" s="12">
        <v>0</v>
      </c>
    </row>
    <row r="8" spans="2:9" ht="15" customHeight="1" x14ac:dyDescent="0.2">
      <c r="B8" t="s">
        <v>64</v>
      </c>
      <c r="C8" s="12">
        <v>6</v>
      </c>
      <c r="D8" s="8">
        <v>1.41</v>
      </c>
      <c r="E8" s="12">
        <v>0</v>
      </c>
      <c r="F8" s="8">
        <v>0</v>
      </c>
      <c r="G8" s="12">
        <v>4</v>
      </c>
      <c r="H8" s="8">
        <v>2.5299999999999998</v>
      </c>
      <c r="I8" s="12">
        <v>0</v>
      </c>
    </row>
    <row r="9" spans="2:9" ht="15" customHeight="1" x14ac:dyDescent="0.2">
      <c r="B9" t="s">
        <v>65</v>
      </c>
      <c r="C9" s="12">
        <v>1</v>
      </c>
      <c r="D9" s="8">
        <v>0.23</v>
      </c>
      <c r="E9" s="12">
        <v>0</v>
      </c>
      <c r="F9" s="8">
        <v>0</v>
      </c>
      <c r="G9" s="12">
        <v>1</v>
      </c>
      <c r="H9" s="8">
        <v>0.63</v>
      </c>
      <c r="I9" s="12">
        <v>0</v>
      </c>
    </row>
    <row r="10" spans="2:9" ht="15" customHeight="1" x14ac:dyDescent="0.2">
      <c r="B10" t="s">
        <v>66</v>
      </c>
      <c r="C10" s="12">
        <v>9</v>
      </c>
      <c r="D10" s="8">
        <v>2.11</v>
      </c>
      <c r="E10" s="12">
        <v>1</v>
      </c>
      <c r="F10" s="8">
        <v>0.38</v>
      </c>
      <c r="G10" s="12">
        <v>8</v>
      </c>
      <c r="H10" s="8">
        <v>5.0599999999999996</v>
      </c>
      <c r="I10" s="12">
        <v>0</v>
      </c>
    </row>
    <row r="11" spans="2:9" ht="15" customHeight="1" x14ac:dyDescent="0.2">
      <c r="B11" t="s">
        <v>67</v>
      </c>
      <c r="C11" s="12">
        <v>106</v>
      </c>
      <c r="D11" s="8">
        <v>24.88</v>
      </c>
      <c r="E11" s="12">
        <v>64</v>
      </c>
      <c r="F11" s="8">
        <v>24.15</v>
      </c>
      <c r="G11" s="12">
        <v>42</v>
      </c>
      <c r="H11" s="8">
        <v>26.58</v>
      </c>
      <c r="I11" s="12">
        <v>0</v>
      </c>
    </row>
    <row r="12" spans="2:9" ht="15" customHeight="1" x14ac:dyDescent="0.2">
      <c r="B12" t="s">
        <v>68</v>
      </c>
      <c r="C12" s="12">
        <v>4</v>
      </c>
      <c r="D12" s="8">
        <v>0.94</v>
      </c>
      <c r="E12" s="12">
        <v>0</v>
      </c>
      <c r="F12" s="8">
        <v>0</v>
      </c>
      <c r="G12" s="12">
        <v>4</v>
      </c>
      <c r="H12" s="8">
        <v>2.5299999999999998</v>
      </c>
      <c r="I12" s="12">
        <v>0</v>
      </c>
    </row>
    <row r="13" spans="2:9" ht="15" customHeight="1" x14ac:dyDescent="0.2">
      <c r="B13" t="s">
        <v>69</v>
      </c>
      <c r="C13" s="12">
        <v>30</v>
      </c>
      <c r="D13" s="8">
        <v>7.04</v>
      </c>
      <c r="E13" s="12">
        <v>16</v>
      </c>
      <c r="F13" s="8">
        <v>6.04</v>
      </c>
      <c r="G13" s="12">
        <v>14</v>
      </c>
      <c r="H13" s="8">
        <v>8.86</v>
      </c>
      <c r="I13" s="12">
        <v>0</v>
      </c>
    </row>
    <row r="14" spans="2:9" ht="15" customHeight="1" x14ac:dyDescent="0.2">
      <c r="B14" t="s">
        <v>70</v>
      </c>
      <c r="C14" s="12">
        <v>18</v>
      </c>
      <c r="D14" s="8">
        <v>4.2300000000000004</v>
      </c>
      <c r="E14" s="12">
        <v>13</v>
      </c>
      <c r="F14" s="8">
        <v>4.91</v>
      </c>
      <c r="G14" s="12">
        <v>5</v>
      </c>
      <c r="H14" s="8">
        <v>3.16</v>
      </c>
      <c r="I14" s="12">
        <v>0</v>
      </c>
    </row>
    <row r="15" spans="2:9" ht="15" customHeight="1" x14ac:dyDescent="0.2">
      <c r="B15" t="s">
        <v>71</v>
      </c>
      <c r="C15" s="12">
        <v>35</v>
      </c>
      <c r="D15" s="8">
        <v>8.2200000000000006</v>
      </c>
      <c r="E15" s="12">
        <v>30</v>
      </c>
      <c r="F15" s="8">
        <v>11.32</v>
      </c>
      <c r="G15" s="12">
        <v>4</v>
      </c>
      <c r="H15" s="8">
        <v>2.5299999999999998</v>
      </c>
      <c r="I15" s="12">
        <v>0</v>
      </c>
    </row>
    <row r="16" spans="2:9" ht="15" customHeight="1" x14ac:dyDescent="0.2">
      <c r="B16" t="s">
        <v>72</v>
      </c>
      <c r="C16" s="12">
        <v>53</v>
      </c>
      <c r="D16" s="8">
        <v>12.44</v>
      </c>
      <c r="E16" s="12">
        <v>46</v>
      </c>
      <c r="F16" s="8">
        <v>17.36</v>
      </c>
      <c r="G16" s="12">
        <v>7</v>
      </c>
      <c r="H16" s="8">
        <v>4.43</v>
      </c>
      <c r="I16" s="12">
        <v>0</v>
      </c>
    </row>
    <row r="17" spans="2:9" ht="15" customHeight="1" x14ac:dyDescent="0.2">
      <c r="B17" t="s">
        <v>73</v>
      </c>
      <c r="C17" s="12">
        <v>6</v>
      </c>
      <c r="D17" s="8">
        <v>1.41</v>
      </c>
      <c r="E17" s="12">
        <v>5</v>
      </c>
      <c r="F17" s="8">
        <v>1.89</v>
      </c>
      <c r="G17" s="12">
        <v>1</v>
      </c>
      <c r="H17" s="8">
        <v>0.63</v>
      </c>
      <c r="I17" s="12">
        <v>0</v>
      </c>
    </row>
    <row r="18" spans="2:9" ht="15" customHeight="1" x14ac:dyDescent="0.2">
      <c r="B18" t="s">
        <v>74</v>
      </c>
      <c r="C18" s="12">
        <v>13</v>
      </c>
      <c r="D18" s="8">
        <v>3.05</v>
      </c>
      <c r="E18" s="12">
        <v>11</v>
      </c>
      <c r="F18" s="8">
        <v>4.1500000000000004</v>
      </c>
      <c r="G18" s="12">
        <v>2</v>
      </c>
      <c r="H18" s="8">
        <v>1.27</v>
      </c>
      <c r="I18" s="12">
        <v>0</v>
      </c>
    </row>
    <row r="19" spans="2:9" ht="15" customHeight="1" x14ac:dyDescent="0.2">
      <c r="B19" t="s">
        <v>75</v>
      </c>
      <c r="C19" s="12">
        <v>19</v>
      </c>
      <c r="D19" s="8">
        <v>4.46</v>
      </c>
      <c r="E19" s="12">
        <v>12</v>
      </c>
      <c r="F19" s="8">
        <v>4.53</v>
      </c>
      <c r="G19" s="12">
        <v>7</v>
      </c>
      <c r="H19" s="8">
        <v>4.43</v>
      </c>
      <c r="I19" s="12">
        <v>0</v>
      </c>
    </row>
    <row r="20" spans="2:9" ht="15" customHeight="1" x14ac:dyDescent="0.2">
      <c r="B20" s="9" t="s">
        <v>248</v>
      </c>
      <c r="C20" s="12">
        <f>SUM(LTBL_12347[総数／事業所数])</f>
        <v>426</v>
      </c>
      <c r="E20" s="12">
        <f>SUBTOTAL(109,LTBL_12347[個人／事業所数])</f>
        <v>265</v>
      </c>
      <c r="G20" s="12">
        <f>SUBTOTAL(109,LTBL_12347[法人／事業所数])</f>
        <v>158</v>
      </c>
      <c r="I20" s="12">
        <f>SUBTOTAL(109,LTBL_12347[法人以外の団体／事業所数])</f>
        <v>0</v>
      </c>
    </row>
    <row r="21" spans="2:9" ht="15" customHeight="1" x14ac:dyDescent="0.2">
      <c r="E21" s="11">
        <f>LTBL_12347[[#Totals],[個人／事業所数]]/LTBL_12347[[#Totals],[総数／事業所数]]</f>
        <v>0.6220657276995305</v>
      </c>
      <c r="G21" s="11">
        <f>LTBL_12347[[#Totals],[法人／事業所数]]/LTBL_12347[[#Totals],[総数／事業所数]]</f>
        <v>0.37089201877934275</v>
      </c>
      <c r="I21" s="11">
        <f>LTBL_12347[[#Totals],[法人以外の団体／事業所数]]/LTBL_12347[[#Totals],[総数／事業所数]]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48</v>
      </c>
      <c r="D24" s="8">
        <v>11.27</v>
      </c>
      <c r="E24" s="12">
        <v>43</v>
      </c>
      <c r="F24" s="8">
        <v>16.23</v>
      </c>
      <c r="G24" s="12">
        <v>5</v>
      </c>
      <c r="H24" s="8">
        <v>3.16</v>
      </c>
      <c r="I24" s="12">
        <v>0</v>
      </c>
    </row>
    <row r="25" spans="2:9" ht="15" customHeight="1" x14ac:dyDescent="0.2">
      <c r="B25" t="s">
        <v>84</v>
      </c>
      <c r="C25" s="12">
        <v>45</v>
      </c>
      <c r="D25" s="8">
        <v>10.56</v>
      </c>
      <c r="E25" s="12">
        <v>18</v>
      </c>
      <c r="F25" s="8">
        <v>6.79</v>
      </c>
      <c r="G25" s="12">
        <v>27</v>
      </c>
      <c r="H25" s="8">
        <v>17.09</v>
      </c>
      <c r="I25" s="12">
        <v>0</v>
      </c>
    </row>
    <row r="26" spans="2:9" ht="15" customHeight="1" x14ac:dyDescent="0.2">
      <c r="B26" t="s">
        <v>85</v>
      </c>
      <c r="C26" s="12">
        <v>36</v>
      </c>
      <c r="D26" s="8">
        <v>8.4499999999999993</v>
      </c>
      <c r="E26" s="12">
        <v>32</v>
      </c>
      <c r="F26" s="8">
        <v>12.08</v>
      </c>
      <c r="G26" s="12">
        <v>4</v>
      </c>
      <c r="H26" s="8">
        <v>2.5299999999999998</v>
      </c>
      <c r="I26" s="12">
        <v>0</v>
      </c>
    </row>
    <row r="27" spans="2:9" ht="15" customHeight="1" x14ac:dyDescent="0.2">
      <c r="B27" t="s">
        <v>97</v>
      </c>
      <c r="C27" s="12">
        <v>33</v>
      </c>
      <c r="D27" s="8">
        <v>7.75</v>
      </c>
      <c r="E27" s="12">
        <v>30</v>
      </c>
      <c r="F27" s="8">
        <v>11.32</v>
      </c>
      <c r="G27" s="12">
        <v>3</v>
      </c>
      <c r="H27" s="8">
        <v>1.9</v>
      </c>
      <c r="I27" s="12">
        <v>0</v>
      </c>
    </row>
    <row r="28" spans="2:9" ht="15" customHeight="1" x14ac:dyDescent="0.2">
      <c r="B28" t="s">
        <v>90</v>
      </c>
      <c r="C28" s="12">
        <v>30</v>
      </c>
      <c r="D28" s="8">
        <v>7.04</v>
      </c>
      <c r="E28" s="12">
        <v>24</v>
      </c>
      <c r="F28" s="8">
        <v>9.06</v>
      </c>
      <c r="G28" s="12">
        <v>6</v>
      </c>
      <c r="H28" s="8">
        <v>3.8</v>
      </c>
      <c r="I28" s="12">
        <v>0</v>
      </c>
    </row>
    <row r="29" spans="2:9" ht="15" customHeight="1" x14ac:dyDescent="0.2">
      <c r="B29" t="s">
        <v>92</v>
      </c>
      <c r="C29" s="12">
        <v>30</v>
      </c>
      <c r="D29" s="8">
        <v>7.04</v>
      </c>
      <c r="E29" s="12">
        <v>20</v>
      </c>
      <c r="F29" s="8">
        <v>7.55</v>
      </c>
      <c r="G29" s="12">
        <v>10</v>
      </c>
      <c r="H29" s="8">
        <v>6.33</v>
      </c>
      <c r="I29" s="12">
        <v>0</v>
      </c>
    </row>
    <row r="30" spans="2:9" ht="15" customHeight="1" x14ac:dyDescent="0.2">
      <c r="B30" t="s">
        <v>94</v>
      </c>
      <c r="C30" s="12">
        <v>24</v>
      </c>
      <c r="D30" s="8">
        <v>5.63</v>
      </c>
      <c r="E30" s="12">
        <v>16</v>
      </c>
      <c r="F30" s="8">
        <v>6.04</v>
      </c>
      <c r="G30" s="12">
        <v>8</v>
      </c>
      <c r="H30" s="8">
        <v>5.0599999999999996</v>
      </c>
      <c r="I30" s="12">
        <v>0</v>
      </c>
    </row>
    <row r="31" spans="2:9" ht="15" customHeight="1" x14ac:dyDescent="0.2">
      <c r="B31" t="s">
        <v>86</v>
      </c>
      <c r="C31" s="12">
        <v>17</v>
      </c>
      <c r="D31" s="8">
        <v>3.99</v>
      </c>
      <c r="E31" s="12">
        <v>9</v>
      </c>
      <c r="F31" s="8">
        <v>3.4</v>
      </c>
      <c r="G31" s="12">
        <v>8</v>
      </c>
      <c r="H31" s="8">
        <v>5.0599999999999996</v>
      </c>
      <c r="I31" s="12">
        <v>0</v>
      </c>
    </row>
    <row r="32" spans="2:9" ht="15" customHeight="1" x14ac:dyDescent="0.2">
      <c r="B32" t="s">
        <v>91</v>
      </c>
      <c r="C32" s="12">
        <v>15</v>
      </c>
      <c r="D32" s="8">
        <v>3.52</v>
      </c>
      <c r="E32" s="12">
        <v>8</v>
      </c>
      <c r="F32" s="8">
        <v>3.02</v>
      </c>
      <c r="G32" s="12">
        <v>7</v>
      </c>
      <c r="H32" s="8">
        <v>4.43</v>
      </c>
      <c r="I32" s="12">
        <v>0</v>
      </c>
    </row>
    <row r="33" spans="2:9" ht="15" customHeight="1" x14ac:dyDescent="0.2">
      <c r="B33" t="s">
        <v>103</v>
      </c>
      <c r="C33" s="12">
        <v>15</v>
      </c>
      <c r="D33" s="8">
        <v>3.52</v>
      </c>
      <c r="E33" s="12">
        <v>11</v>
      </c>
      <c r="F33" s="8">
        <v>4.1500000000000004</v>
      </c>
      <c r="G33" s="12">
        <v>4</v>
      </c>
      <c r="H33" s="8">
        <v>2.5299999999999998</v>
      </c>
      <c r="I33" s="12">
        <v>0</v>
      </c>
    </row>
    <row r="34" spans="2:9" ht="15" customHeight="1" x14ac:dyDescent="0.2">
      <c r="B34" t="s">
        <v>101</v>
      </c>
      <c r="C34" s="12">
        <v>12</v>
      </c>
      <c r="D34" s="8">
        <v>2.82</v>
      </c>
      <c r="E34" s="12">
        <v>11</v>
      </c>
      <c r="F34" s="8">
        <v>4.1500000000000004</v>
      </c>
      <c r="G34" s="12">
        <v>1</v>
      </c>
      <c r="H34" s="8">
        <v>0.63</v>
      </c>
      <c r="I34" s="12">
        <v>0</v>
      </c>
    </row>
    <row r="35" spans="2:9" ht="15" customHeight="1" x14ac:dyDescent="0.2">
      <c r="B35" t="s">
        <v>104</v>
      </c>
      <c r="C35" s="12">
        <v>10</v>
      </c>
      <c r="D35" s="8">
        <v>2.35</v>
      </c>
      <c r="E35" s="12">
        <v>2</v>
      </c>
      <c r="F35" s="8">
        <v>0.75</v>
      </c>
      <c r="G35" s="12">
        <v>8</v>
      </c>
      <c r="H35" s="8">
        <v>5.0599999999999996</v>
      </c>
      <c r="I35" s="12">
        <v>0</v>
      </c>
    </row>
    <row r="36" spans="2:9" ht="15" customHeight="1" x14ac:dyDescent="0.2">
      <c r="B36" t="s">
        <v>89</v>
      </c>
      <c r="C36" s="12">
        <v>9</v>
      </c>
      <c r="D36" s="8">
        <v>2.11</v>
      </c>
      <c r="E36" s="12">
        <v>8</v>
      </c>
      <c r="F36" s="8">
        <v>3.02</v>
      </c>
      <c r="G36" s="12">
        <v>1</v>
      </c>
      <c r="H36" s="8">
        <v>0.63</v>
      </c>
      <c r="I36" s="12">
        <v>0</v>
      </c>
    </row>
    <row r="37" spans="2:9" ht="15" customHeight="1" x14ac:dyDescent="0.2">
      <c r="B37" t="s">
        <v>95</v>
      </c>
      <c r="C37" s="12">
        <v>9</v>
      </c>
      <c r="D37" s="8">
        <v>2.11</v>
      </c>
      <c r="E37" s="12">
        <v>8</v>
      </c>
      <c r="F37" s="8">
        <v>3.02</v>
      </c>
      <c r="G37" s="12">
        <v>1</v>
      </c>
      <c r="H37" s="8">
        <v>0.63</v>
      </c>
      <c r="I37" s="12">
        <v>0</v>
      </c>
    </row>
    <row r="38" spans="2:9" ht="15" customHeight="1" x14ac:dyDescent="0.2">
      <c r="B38" t="s">
        <v>96</v>
      </c>
      <c r="C38" s="12">
        <v>9</v>
      </c>
      <c r="D38" s="8">
        <v>2.11</v>
      </c>
      <c r="E38" s="12">
        <v>5</v>
      </c>
      <c r="F38" s="8">
        <v>1.89</v>
      </c>
      <c r="G38" s="12">
        <v>4</v>
      </c>
      <c r="H38" s="8">
        <v>2.5299999999999998</v>
      </c>
      <c r="I38" s="12">
        <v>0</v>
      </c>
    </row>
    <row r="39" spans="2:9" ht="15" customHeight="1" x14ac:dyDescent="0.2">
      <c r="B39" t="s">
        <v>109</v>
      </c>
      <c r="C39" s="12">
        <v>7</v>
      </c>
      <c r="D39" s="8">
        <v>1.64</v>
      </c>
      <c r="E39" s="12">
        <v>1</v>
      </c>
      <c r="F39" s="8">
        <v>0.38</v>
      </c>
      <c r="G39" s="12">
        <v>6</v>
      </c>
      <c r="H39" s="8">
        <v>3.8</v>
      </c>
      <c r="I39" s="12">
        <v>0</v>
      </c>
    </row>
    <row r="40" spans="2:9" ht="15" customHeight="1" x14ac:dyDescent="0.2">
      <c r="B40" t="s">
        <v>100</v>
      </c>
      <c r="C40" s="12">
        <v>6</v>
      </c>
      <c r="D40" s="8">
        <v>1.41</v>
      </c>
      <c r="E40" s="12">
        <v>5</v>
      </c>
      <c r="F40" s="8">
        <v>1.89</v>
      </c>
      <c r="G40" s="12">
        <v>1</v>
      </c>
      <c r="H40" s="8">
        <v>0.63</v>
      </c>
      <c r="I40" s="12">
        <v>0</v>
      </c>
    </row>
    <row r="41" spans="2:9" ht="15" customHeight="1" x14ac:dyDescent="0.2">
      <c r="B41" t="s">
        <v>106</v>
      </c>
      <c r="C41" s="12">
        <v>5</v>
      </c>
      <c r="D41" s="8">
        <v>1.17</v>
      </c>
      <c r="E41" s="12">
        <v>1</v>
      </c>
      <c r="F41" s="8">
        <v>0.38</v>
      </c>
      <c r="G41" s="12">
        <v>4</v>
      </c>
      <c r="H41" s="8">
        <v>2.5299999999999998</v>
      </c>
      <c r="I41" s="12">
        <v>0</v>
      </c>
    </row>
    <row r="42" spans="2:9" ht="15" customHeight="1" x14ac:dyDescent="0.2">
      <c r="B42" t="s">
        <v>93</v>
      </c>
      <c r="C42" s="12">
        <v>5</v>
      </c>
      <c r="D42" s="8">
        <v>1.17</v>
      </c>
      <c r="E42" s="12">
        <v>0</v>
      </c>
      <c r="F42" s="8">
        <v>0</v>
      </c>
      <c r="G42" s="12">
        <v>5</v>
      </c>
      <c r="H42" s="8">
        <v>3.16</v>
      </c>
      <c r="I42" s="12">
        <v>0</v>
      </c>
    </row>
    <row r="43" spans="2:9" ht="15" customHeight="1" x14ac:dyDescent="0.2">
      <c r="B43" t="s">
        <v>116</v>
      </c>
      <c r="C43" s="12">
        <v>4</v>
      </c>
      <c r="D43" s="8">
        <v>0.94</v>
      </c>
      <c r="E43" s="12">
        <v>4</v>
      </c>
      <c r="F43" s="8">
        <v>1.51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131</v>
      </c>
      <c r="C44" s="12">
        <v>4</v>
      </c>
      <c r="D44" s="8">
        <v>0.94</v>
      </c>
      <c r="E44" s="12">
        <v>0</v>
      </c>
      <c r="F44" s="8">
        <v>0</v>
      </c>
      <c r="G44" s="12">
        <v>4</v>
      </c>
      <c r="H44" s="8">
        <v>2.5299999999999998</v>
      </c>
      <c r="I44" s="12">
        <v>0</v>
      </c>
    </row>
    <row r="45" spans="2:9" ht="15" customHeight="1" x14ac:dyDescent="0.2">
      <c r="B45" t="s">
        <v>113</v>
      </c>
      <c r="C45" s="12">
        <v>4</v>
      </c>
      <c r="D45" s="8">
        <v>0.94</v>
      </c>
      <c r="E45" s="12">
        <v>0</v>
      </c>
      <c r="F45" s="8">
        <v>0</v>
      </c>
      <c r="G45" s="12">
        <v>4</v>
      </c>
      <c r="H45" s="8">
        <v>2.5299999999999998</v>
      </c>
      <c r="I45" s="12">
        <v>0</v>
      </c>
    </row>
    <row r="48" spans="2:9" ht="33" customHeight="1" x14ac:dyDescent="0.2">
      <c r="B48" t="s">
        <v>250</v>
      </c>
      <c r="C48" s="10" t="s">
        <v>77</v>
      </c>
      <c r="D48" s="10" t="s">
        <v>78</v>
      </c>
      <c r="E48" s="10" t="s">
        <v>79</v>
      </c>
      <c r="F48" s="10" t="s">
        <v>80</v>
      </c>
      <c r="G48" s="10" t="s">
        <v>81</v>
      </c>
      <c r="H48" s="10" t="s">
        <v>82</v>
      </c>
      <c r="I48" s="10" t="s">
        <v>83</v>
      </c>
    </row>
    <row r="49" spans="2:9" ht="15" customHeight="1" x14ac:dyDescent="0.2">
      <c r="B49" t="s">
        <v>163</v>
      </c>
      <c r="C49" s="12">
        <v>21</v>
      </c>
      <c r="D49" s="8">
        <v>4.93</v>
      </c>
      <c r="E49" s="12">
        <v>20</v>
      </c>
      <c r="F49" s="8">
        <v>7.55</v>
      </c>
      <c r="G49" s="12">
        <v>1</v>
      </c>
      <c r="H49" s="8">
        <v>0.63</v>
      </c>
      <c r="I49" s="12">
        <v>0</v>
      </c>
    </row>
    <row r="50" spans="2:9" ht="15" customHeight="1" x14ac:dyDescent="0.2">
      <c r="B50" t="s">
        <v>164</v>
      </c>
      <c r="C50" s="12">
        <v>20</v>
      </c>
      <c r="D50" s="8">
        <v>4.6900000000000004</v>
      </c>
      <c r="E50" s="12">
        <v>20</v>
      </c>
      <c r="F50" s="8">
        <v>7.55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150</v>
      </c>
      <c r="C51" s="12">
        <v>19</v>
      </c>
      <c r="D51" s="8">
        <v>4.46</v>
      </c>
      <c r="E51" s="12">
        <v>12</v>
      </c>
      <c r="F51" s="8">
        <v>4.53</v>
      </c>
      <c r="G51" s="12">
        <v>7</v>
      </c>
      <c r="H51" s="8">
        <v>4.43</v>
      </c>
      <c r="I51" s="12">
        <v>0</v>
      </c>
    </row>
    <row r="52" spans="2:9" ht="15" customHeight="1" x14ac:dyDescent="0.2">
      <c r="B52" t="s">
        <v>158</v>
      </c>
      <c r="C52" s="12">
        <v>19</v>
      </c>
      <c r="D52" s="8">
        <v>4.46</v>
      </c>
      <c r="E52" s="12">
        <v>15</v>
      </c>
      <c r="F52" s="8">
        <v>5.66</v>
      </c>
      <c r="G52" s="12">
        <v>4</v>
      </c>
      <c r="H52" s="8">
        <v>2.5299999999999998</v>
      </c>
      <c r="I52" s="12">
        <v>0</v>
      </c>
    </row>
    <row r="53" spans="2:9" ht="15" customHeight="1" x14ac:dyDescent="0.2">
      <c r="B53" t="s">
        <v>148</v>
      </c>
      <c r="C53" s="12">
        <v>16</v>
      </c>
      <c r="D53" s="8">
        <v>3.76</v>
      </c>
      <c r="E53" s="12">
        <v>3</v>
      </c>
      <c r="F53" s="8">
        <v>1.1299999999999999</v>
      </c>
      <c r="G53" s="12">
        <v>13</v>
      </c>
      <c r="H53" s="8">
        <v>8.23</v>
      </c>
      <c r="I53" s="12">
        <v>0</v>
      </c>
    </row>
    <row r="54" spans="2:9" ht="15" customHeight="1" x14ac:dyDescent="0.2">
      <c r="B54" t="s">
        <v>167</v>
      </c>
      <c r="C54" s="12">
        <v>15</v>
      </c>
      <c r="D54" s="8">
        <v>3.52</v>
      </c>
      <c r="E54" s="12">
        <v>11</v>
      </c>
      <c r="F54" s="8">
        <v>4.1500000000000004</v>
      </c>
      <c r="G54" s="12">
        <v>4</v>
      </c>
      <c r="H54" s="8">
        <v>2.5299999999999998</v>
      </c>
      <c r="I54" s="12">
        <v>0</v>
      </c>
    </row>
    <row r="55" spans="2:9" ht="15" customHeight="1" x14ac:dyDescent="0.2">
      <c r="B55" t="s">
        <v>154</v>
      </c>
      <c r="C55" s="12">
        <v>14</v>
      </c>
      <c r="D55" s="8">
        <v>3.29</v>
      </c>
      <c r="E55" s="12">
        <v>12</v>
      </c>
      <c r="F55" s="8">
        <v>4.53</v>
      </c>
      <c r="G55" s="12">
        <v>2</v>
      </c>
      <c r="H55" s="8">
        <v>1.27</v>
      </c>
      <c r="I55" s="12">
        <v>0</v>
      </c>
    </row>
    <row r="56" spans="2:9" ht="15" customHeight="1" x14ac:dyDescent="0.2">
      <c r="B56" t="s">
        <v>197</v>
      </c>
      <c r="C56" s="12">
        <v>13</v>
      </c>
      <c r="D56" s="8">
        <v>3.05</v>
      </c>
      <c r="E56" s="12">
        <v>13</v>
      </c>
      <c r="F56" s="8">
        <v>4.91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155</v>
      </c>
      <c r="C57" s="12">
        <v>10</v>
      </c>
      <c r="D57" s="8">
        <v>2.35</v>
      </c>
      <c r="E57" s="12">
        <v>4</v>
      </c>
      <c r="F57" s="8">
        <v>1.51</v>
      </c>
      <c r="G57" s="12">
        <v>6</v>
      </c>
      <c r="H57" s="8">
        <v>3.8</v>
      </c>
      <c r="I57" s="12">
        <v>0</v>
      </c>
    </row>
    <row r="58" spans="2:9" ht="15" customHeight="1" x14ac:dyDescent="0.2">
      <c r="B58" t="s">
        <v>191</v>
      </c>
      <c r="C58" s="12">
        <v>10</v>
      </c>
      <c r="D58" s="8">
        <v>2.35</v>
      </c>
      <c r="E58" s="12">
        <v>7</v>
      </c>
      <c r="F58" s="8">
        <v>2.64</v>
      </c>
      <c r="G58" s="12">
        <v>3</v>
      </c>
      <c r="H58" s="8">
        <v>1.9</v>
      </c>
      <c r="I58" s="12">
        <v>0</v>
      </c>
    </row>
    <row r="59" spans="2:9" ht="15" customHeight="1" x14ac:dyDescent="0.2">
      <c r="B59" t="s">
        <v>162</v>
      </c>
      <c r="C59" s="12">
        <v>9</v>
      </c>
      <c r="D59" s="8">
        <v>2.11</v>
      </c>
      <c r="E59" s="12">
        <v>9</v>
      </c>
      <c r="F59" s="8">
        <v>3.4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152</v>
      </c>
      <c r="C60" s="12">
        <v>8</v>
      </c>
      <c r="D60" s="8">
        <v>1.88</v>
      </c>
      <c r="E60" s="12">
        <v>7</v>
      </c>
      <c r="F60" s="8">
        <v>2.64</v>
      </c>
      <c r="G60" s="12">
        <v>1</v>
      </c>
      <c r="H60" s="8">
        <v>0.63</v>
      </c>
      <c r="I60" s="12">
        <v>0</v>
      </c>
    </row>
    <row r="61" spans="2:9" ht="15" customHeight="1" x14ac:dyDescent="0.2">
      <c r="B61" t="s">
        <v>161</v>
      </c>
      <c r="C61" s="12">
        <v>8</v>
      </c>
      <c r="D61" s="8">
        <v>1.88</v>
      </c>
      <c r="E61" s="12">
        <v>7</v>
      </c>
      <c r="F61" s="8">
        <v>2.64</v>
      </c>
      <c r="G61" s="12">
        <v>1</v>
      </c>
      <c r="H61" s="8">
        <v>0.63</v>
      </c>
      <c r="I61" s="12">
        <v>0</v>
      </c>
    </row>
    <row r="62" spans="2:9" ht="15" customHeight="1" x14ac:dyDescent="0.2">
      <c r="B62" t="s">
        <v>192</v>
      </c>
      <c r="C62" s="12">
        <v>7</v>
      </c>
      <c r="D62" s="8">
        <v>1.64</v>
      </c>
      <c r="E62" s="12">
        <v>5</v>
      </c>
      <c r="F62" s="8">
        <v>1.89</v>
      </c>
      <c r="G62" s="12">
        <v>2</v>
      </c>
      <c r="H62" s="8">
        <v>1.27</v>
      </c>
      <c r="I62" s="12">
        <v>0</v>
      </c>
    </row>
    <row r="63" spans="2:9" ht="15" customHeight="1" x14ac:dyDescent="0.2">
      <c r="B63" t="s">
        <v>166</v>
      </c>
      <c r="C63" s="12">
        <v>7</v>
      </c>
      <c r="D63" s="8">
        <v>1.64</v>
      </c>
      <c r="E63" s="12">
        <v>6</v>
      </c>
      <c r="F63" s="8">
        <v>2.2599999999999998</v>
      </c>
      <c r="G63" s="12">
        <v>1</v>
      </c>
      <c r="H63" s="8">
        <v>0.63</v>
      </c>
      <c r="I63" s="12">
        <v>0</v>
      </c>
    </row>
    <row r="64" spans="2:9" ht="15" customHeight="1" x14ac:dyDescent="0.2">
      <c r="B64" t="s">
        <v>153</v>
      </c>
      <c r="C64" s="12">
        <v>6</v>
      </c>
      <c r="D64" s="8">
        <v>1.41</v>
      </c>
      <c r="E64" s="12">
        <v>0</v>
      </c>
      <c r="F64" s="8">
        <v>0</v>
      </c>
      <c r="G64" s="12">
        <v>6</v>
      </c>
      <c r="H64" s="8">
        <v>3.8</v>
      </c>
      <c r="I64" s="12">
        <v>0</v>
      </c>
    </row>
    <row r="65" spans="2:9" ht="15" customHeight="1" x14ac:dyDescent="0.2">
      <c r="B65" t="s">
        <v>184</v>
      </c>
      <c r="C65" s="12">
        <v>6</v>
      </c>
      <c r="D65" s="8">
        <v>1.41</v>
      </c>
      <c r="E65" s="12">
        <v>1</v>
      </c>
      <c r="F65" s="8">
        <v>0.38</v>
      </c>
      <c r="G65" s="12">
        <v>5</v>
      </c>
      <c r="H65" s="8">
        <v>3.16</v>
      </c>
      <c r="I65" s="12">
        <v>0</v>
      </c>
    </row>
    <row r="66" spans="2:9" ht="15" customHeight="1" x14ac:dyDescent="0.2">
      <c r="B66" t="s">
        <v>190</v>
      </c>
      <c r="C66" s="12">
        <v>6</v>
      </c>
      <c r="D66" s="8">
        <v>1.41</v>
      </c>
      <c r="E66" s="12">
        <v>5</v>
      </c>
      <c r="F66" s="8">
        <v>1.89</v>
      </c>
      <c r="G66" s="12">
        <v>1</v>
      </c>
      <c r="H66" s="8">
        <v>0.63</v>
      </c>
      <c r="I66" s="12">
        <v>0</v>
      </c>
    </row>
    <row r="67" spans="2:9" ht="15" customHeight="1" x14ac:dyDescent="0.2">
      <c r="B67" t="s">
        <v>149</v>
      </c>
      <c r="C67" s="12">
        <v>5</v>
      </c>
      <c r="D67" s="8">
        <v>1.17</v>
      </c>
      <c r="E67" s="12">
        <v>0</v>
      </c>
      <c r="F67" s="8">
        <v>0</v>
      </c>
      <c r="G67" s="12">
        <v>5</v>
      </c>
      <c r="H67" s="8">
        <v>3.16</v>
      </c>
      <c r="I67" s="12">
        <v>0</v>
      </c>
    </row>
    <row r="68" spans="2:9" ht="15" customHeight="1" x14ac:dyDescent="0.2">
      <c r="B68" t="s">
        <v>175</v>
      </c>
      <c r="C68" s="12">
        <v>5</v>
      </c>
      <c r="D68" s="8">
        <v>1.17</v>
      </c>
      <c r="E68" s="12">
        <v>3</v>
      </c>
      <c r="F68" s="8">
        <v>1.1299999999999999</v>
      </c>
      <c r="G68" s="12">
        <v>2</v>
      </c>
      <c r="H68" s="8">
        <v>1.27</v>
      </c>
      <c r="I68" s="12">
        <v>0</v>
      </c>
    </row>
    <row r="69" spans="2:9" ht="15" customHeight="1" x14ac:dyDescent="0.2">
      <c r="B69" t="s">
        <v>221</v>
      </c>
      <c r="C69" s="12">
        <v>5</v>
      </c>
      <c r="D69" s="8">
        <v>1.17</v>
      </c>
      <c r="E69" s="12">
        <v>5</v>
      </c>
      <c r="F69" s="8">
        <v>1.89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177</v>
      </c>
      <c r="C70" s="12">
        <v>5</v>
      </c>
      <c r="D70" s="8">
        <v>1.17</v>
      </c>
      <c r="E70" s="12">
        <v>4</v>
      </c>
      <c r="F70" s="8">
        <v>1.51</v>
      </c>
      <c r="G70" s="12">
        <v>1</v>
      </c>
      <c r="H70" s="8">
        <v>0.63</v>
      </c>
      <c r="I70" s="12">
        <v>0</v>
      </c>
    </row>
    <row r="71" spans="2:9" ht="15" customHeight="1" x14ac:dyDescent="0.2">
      <c r="B71" t="s">
        <v>198</v>
      </c>
      <c r="C71" s="12">
        <v>5</v>
      </c>
      <c r="D71" s="8">
        <v>1.17</v>
      </c>
      <c r="E71" s="12">
        <v>2</v>
      </c>
      <c r="F71" s="8">
        <v>0.75</v>
      </c>
      <c r="G71" s="12">
        <v>3</v>
      </c>
      <c r="H71" s="8">
        <v>1.9</v>
      </c>
      <c r="I71" s="12">
        <v>0</v>
      </c>
    </row>
    <row r="72" spans="2:9" ht="15" customHeight="1" x14ac:dyDescent="0.2">
      <c r="B72" t="s">
        <v>156</v>
      </c>
      <c r="C72" s="12">
        <v>5</v>
      </c>
      <c r="D72" s="8">
        <v>1.17</v>
      </c>
      <c r="E72" s="12">
        <v>5</v>
      </c>
      <c r="F72" s="8">
        <v>1.89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171</v>
      </c>
      <c r="C73" s="12">
        <v>5</v>
      </c>
      <c r="D73" s="8">
        <v>1.17</v>
      </c>
      <c r="E73" s="12">
        <v>0</v>
      </c>
      <c r="F73" s="8">
        <v>0</v>
      </c>
      <c r="G73" s="12">
        <v>5</v>
      </c>
      <c r="H73" s="8">
        <v>3.16</v>
      </c>
      <c r="I73" s="12">
        <v>0</v>
      </c>
    </row>
    <row r="74" spans="2:9" ht="15" customHeight="1" x14ac:dyDescent="0.2">
      <c r="B74" t="s">
        <v>222</v>
      </c>
      <c r="C74" s="12">
        <v>5</v>
      </c>
      <c r="D74" s="8">
        <v>1.17</v>
      </c>
      <c r="E74" s="12">
        <v>5</v>
      </c>
      <c r="F74" s="8">
        <v>1.89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169</v>
      </c>
      <c r="C75" s="12">
        <v>5</v>
      </c>
      <c r="D75" s="8">
        <v>1.17</v>
      </c>
      <c r="E75" s="12">
        <v>3</v>
      </c>
      <c r="F75" s="8">
        <v>1.1299999999999999</v>
      </c>
      <c r="G75" s="12">
        <v>2</v>
      </c>
      <c r="H75" s="8">
        <v>1.27</v>
      </c>
      <c r="I75" s="12">
        <v>0</v>
      </c>
    </row>
    <row r="77" spans="2:9" ht="15" customHeight="1" x14ac:dyDescent="0.2">
      <c r="B77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C78B1-57E8-4648-87D1-8E69219B8C8B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299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70</v>
      </c>
      <c r="D6" s="8">
        <v>22.01</v>
      </c>
      <c r="E6" s="12">
        <v>44</v>
      </c>
      <c r="F6" s="8">
        <v>19.13</v>
      </c>
      <c r="G6" s="12">
        <v>26</v>
      </c>
      <c r="H6" s="8">
        <v>31.33</v>
      </c>
      <c r="I6" s="12">
        <v>0</v>
      </c>
    </row>
    <row r="7" spans="2:9" ht="15" customHeight="1" x14ac:dyDescent="0.2">
      <c r="B7" t="s">
        <v>63</v>
      </c>
      <c r="C7" s="12">
        <v>43</v>
      </c>
      <c r="D7" s="8">
        <v>13.52</v>
      </c>
      <c r="E7" s="12">
        <v>32</v>
      </c>
      <c r="F7" s="8">
        <v>13.91</v>
      </c>
      <c r="G7" s="12">
        <v>11</v>
      </c>
      <c r="H7" s="8">
        <v>13.25</v>
      </c>
      <c r="I7" s="12">
        <v>0</v>
      </c>
    </row>
    <row r="8" spans="2:9" ht="15" customHeight="1" x14ac:dyDescent="0.2">
      <c r="B8" t="s">
        <v>64</v>
      </c>
      <c r="C8" s="12">
        <v>3</v>
      </c>
      <c r="D8" s="8">
        <v>0.94</v>
      </c>
      <c r="E8" s="12">
        <v>0</v>
      </c>
      <c r="F8" s="8">
        <v>0</v>
      </c>
      <c r="G8" s="12">
        <v>2</v>
      </c>
      <c r="H8" s="8">
        <v>2.41</v>
      </c>
      <c r="I8" s="12">
        <v>0</v>
      </c>
    </row>
    <row r="9" spans="2:9" ht="15" customHeight="1" x14ac:dyDescent="0.2">
      <c r="B9" t="s">
        <v>65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66</v>
      </c>
      <c r="C10" s="12">
        <v>2</v>
      </c>
      <c r="D10" s="8">
        <v>0.63</v>
      </c>
      <c r="E10" s="12">
        <v>1</v>
      </c>
      <c r="F10" s="8">
        <v>0.43</v>
      </c>
      <c r="G10" s="12">
        <v>1</v>
      </c>
      <c r="H10" s="8">
        <v>1.2</v>
      </c>
      <c r="I10" s="12">
        <v>0</v>
      </c>
    </row>
    <row r="11" spans="2:9" ht="15" customHeight="1" x14ac:dyDescent="0.2">
      <c r="B11" t="s">
        <v>67</v>
      </c>
      <c r="C11" s="12">
        <v>75</v>
      </c>
      <c r="D11" s="8">
        <v>23.58</v>
      </c>
      <c r="E11" s="12">
        <v>55</v>
      </c>
      <c r="F11" s="8">
        <v>23.91</v>
      </c>
      <c r="G11" s="12">
        <v>20</v>
      </c>
      <c r="H11" s="8">
        <v>24.1</v>
      </c>
      <c r="I11" s="12">
        <v>0</v>
      </c>
    </row>
    <row r="12" spans="2:9" ht="15" customHeight="1" x14ac:dyDescent="0.2">
      <c r="B12" t="s">
        <v>68</v>
      </c>
      <c r="C12" s="12">
        <v>1</v>
      </c>
      <c r="D12" s="8">
        <v>0.31</v>
      </c>
      <c r="E12" s="12">
        <v>0</v>
      </c>
      <c r="F12" s="8">
        <v>0</v>
      </c>
      <c r="G12" s="12">
        <v>1</v>
      </c>
      <c r="H12" s="8">
        <v>1.2</v>
      </c>
      <c r="I12" s="12">
        <v>0</v>
      </c>
    </row>
    <row r="13" spans="2:9" ht="15" customHeight="1" x14ac:dyDescent="0.2">
      <c r="B13" t="s">
        <v>69</v>
      </c>
      <c r="C13" s="12">
        <v>4</v>
      </c>
      <c r="D13" s="8">
        <v>1.26</v>
      </c>
      <c r="E13" s="12">
        <v>2</v>
      </c>
      <c r="F13" s="8">
        <v>0.87</v>
      </c>
      <c r="G13" s="12">
        <v>2</v>
      </c>
      <c r="H13" s="8">
        <v>2.41</v>
      </c>
      <c r="I13" s="12">
        <v>0</v>
      </c>
    </row>
    <row r="14" spans="2:9" ht="15" customHeight="1" x14ac:dyDescent="0.2">
      <c r="B14" t="s">
        <v>70</v>
      </c>
      <c r="C14" s="12">
        <v>4</v>
      </c>
      <c r="D14" s="8">
        <v>1.26</v>
      </c>
      <c r="E14" s="12">
        <v>1</v>
      </c>
      <c r="F14" s="8">
        <v>0.43</v>
      </c>
      <c r="G14" s="12">
        <v>3</v>
      </c>
      <c r="H14" s="8">
        <v>3.61</v>
      </c>
      <c r="I14" s="12">
        <v>0</v>
      </c>
    </row>
    <row r="15" spans="2:9" ht="15" customHeight="1" x14ac:dyDescent="0.2">
      <c r="B15" t="s">
        <v>71</v>
      </c>
      <c r="C15" s="12">
        <v>30</v>
      </c>
      <c r="D15" s="8">
        <v>9.43</v>
      </c>
      <c r="E15" s="12">
        <v>26</v>
      </c>
      <c r="F15" s="8">
        <v>11.3</v>
      </c>
      <c r="G15" s="12">
        <v>3</v>
      </c>
      <c r="H15" s="8">
        <v>3.61</v>
      </c>
      <c r="I15" s="12">
        <v>0</v>
      </c>
    </row>
    <row r="16" spans="2:9" ht="15" customHeight="1" x14ac:dyDescent="0.2">
      <c r="B16" t="s">
        <v>72</v>
      </c>
      <c r="C16" s="12">
        <v>48</v>
      </c>
      <c r="D16" s="8">
        <v>15.09</v>
      </c>
      <c r="E16" s="12">
        <v>42</v>
      </c>
      <c r="F16" s="8">
        <v>18.260000000000002</v>
      </c>
      <c r="G16" s="12">
        <v>6</v>
      </c>
      <c r="H16" s="8">
        <v>7.23</v>
      </c>
      <c r="I16" s="12">
        <v>0</v>
      </c>
    </row>
    <row r="17" spans="2:9" ht="15" customHeight="1" x14ac:dyDescent="0.2">
      <c r="B17" t="s">
        <v>73</v>
      </c>
      <c r="C17" s="12">
        <v>9</v>
      </c>
      <c r="D17" s="8">
        <v>2.83</v>
      </c>
      <c r="E17" s="12">
        <v>6</v>
      </c>
      <c r="F17" s="8">
        <v>2.61</v>
      </c>
      <c r="G17" s="12">
        <v>2</v>
      </c>
      <c r="H17" s="8">
        <v>2.41</v>
      </c>
      <c r="I17" s="12">
        <v>0</v>
      </c>
    </row>
    <row r="18" spans="2:9" ht="15" customHeight="1" x14ac:dyDescent="0.2">
      <c r="B18" t="s">
        <v>74</v>
      </c>
      <c r="C18" s="12">
        <v>16</v>
      </c>
      <c r="D18" s="8">
        <v>5.03</v>
      </c>
      <c r="E18" s="12">
        <v>10</v>
      </c>
      <c r="F18" s="8">
        <v>4.3499999999999996</v>
      </c>
      <c r="G18" s="12">
        <v>4</v>
      </c>
      <c r="H18" s="8">
        <v>4.82</v>
      </c>
      <c r="I18" s="12">
        <v>0</v>
      </c>
    </row>
    <row r="19" spans="2:9" ht="15" customHeight="1" x14ac:dyDescent="0.2">
      <c r="B19" t="s">
        <v>75</v>
      </c>
      <c r="C19" s="12">
        <v>13</v>
      </c>
      <c r="D19" s="8">
        <v>4.09</v>
      </c>
      <c r="E19" s="12">
        <v>11</v>
      </c>
      <c r="F19" s="8">
        <v>4.78</v>
      </c>
      <c r="G19" s="12">
        <v>2</v>
      </c>
      <c r="H19" s="8">
        <v>2.41</v>
      </c>
      <c r="I19" s="12">
        <v>0</v>
      </c>
    </row>
    <row r="20" spans="2:9" ht="15" customHeight="1" x14ac:dyDescent="0.2">
      <c r="B20" s="9" t="s">
        <v>248</v>
      </c>
      <c r="C20" s="12">
        <f>SUM(LTBL_12349[総数／事業所数])</f>
        <v>318</v>
      </c>
      <c r="E20" s="12">
        <f>SUBTOTAL(109,LTBL_12349[個人／事業所数])</f>
        <v>230</v>
      </c>
      <c r="G20" s="12">
        <f>SUBTOTAL(109,LTBL_12349[法人／事業所数])</f>
        <v>83</v>
      </c>
      <c r="I20" s="12">
        <f>SUBTOTAL(109,LTBL_12349[法人以外の団体／事業所数])</f>
        <v>0</v>
      </c>
    </row>
    <row r="21" spans="2:9" ht="15" customHeight="1" x14ac:dyDescent="0.2">
      <c r="E21" s="11">
        <f>LTBL_12349[[#Totals],[個人／事業所数]]/LTBL_12349[[#Totals],[総数／事業所数]]</f>
        <v>0.72327044025157228</v>
      </c>
      <c r="G21" s="11">
        <f>LTBL_12349[[#Totals],[法人／事業所数]]/LTBL_12349[[#Totals],[総数／事業所数]]</f>
        <v>0.2610062893081761</v>
      </c>
      <c r="I21" s="11">
        <f>LTBL_12349[[#Totals],[法人以外の団体／事業所数]]/LTBL_12349[[#Totals],[総数／事業所数]]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45</v>
      </c>
      <c r="D24" s="8">
        <v>14.15</v>
      </c>
      <c r="E24" s="12">
        <v>40</v>
      </c>
      <c r="F24" s="8">
        <v>17.39</v>
      </c>
      <c r="G24" s="12">
        <v>5</v>
      </c>
      <c r="H24" s="8">
        <v>6.02</v>
      </c>
      <c r="I24" s="12">
        <v>0</v>
      </c>
    </row>
    <row r="25" spans="2:9" ht="15" customHeight="1" x14ac:dyDescent="0.2">
      <c r="B25" t="s">
        <v>85</v>
      </c>
      <c r="C25" s="12">
        <v>30</v>
      </c>
      <c r="D25" s="8">
        <v>9.43</v>
      </c>
      <c r="E25" s="12">
        <v>22</v>
      </c>
      <c r="F25" s="8">
        <v>9.57</v>
      </c>
      <c r="G25" s="12">
        <v>8</v>
      </c>
      <c r="H25" s="8">
        <v>9.64</v>
      </c>
      <c r="I25" s="12">
        <v>0</v>
      </c>
    </row>
    <row r="26" spans="2:9" ht="15" customHeight="1" x14ac:dyDescent="0.2">
      <c r="B26" t="s">
        <v>92</v>
      </c>
      <c r="C26" s="12">
        <v>29</v>
      </c>
      <c r="D26" s="8">
        <v>9.1199999999999992</v>
      </c>
      <c r="E26" s="12">
        <v>21</v>
      </c>
      <c r="F26" s="8">
        <v>9.1300000000000008</v>
      </c>
      <c r="G26" s="12">
        <v>8</v>
      </c>
      <c r="H26" s="8">
        <v>9.64</v>
      </c>
      <c r="I26" s="12">
        <v>0</v>
      </c>
    </row>
    <row r="27" spans="2:9" ht="15" customHeight="1" x14ac:dyDescent="0.2">
      <c r="B27" t="s">
        <v>133</v>
      </c>
      <c r="C27" s="12">
        <v>28</v>
      </c>
      <c r="D27" s="8">
        <v>8.81</v>
      </c>
      <c r="E27" s="12">
        <v>26</v>
      </c>
      <c r="F27" s="8">
        <v>11.3</v>
      </c>
      <c r="G27" s="12">
        <v>2</v>
      </c>
      <c r="H27" s="8">
        <v>2.41</v>
      </c>
      <c r="I27" s="12">
        <v>0</v>
      </c>
    </row>
    <row r="28" spans="2:9" ht="15" customHeight="1" x14ac:dyDescent="0.2">
      <c r="B28" t="s">
        <v>84</v>
      </c>
      <c r="C28" s="12">
        <v>27</v>
      </c>
      <c r="D28" s="8">
        <v>8.49</v>
      </c>
      <c r="E28" s="12">
        <v>15</v>
      </c>
      <c r="F28" s="8">
        <v>6.52</v>
      </c>
      <c r="G28" s="12">
        <v>12</v>
      </c>
      <c r="H28" s="8">
        <v>14.46</v>
      </c>
      <c r="I28" s="12">
        <v>0</v>
      </c>
    </row>
    <row r="29" spans="2:9" ht="15" customHeight="1" x14ac:dyDescent="0.2">
      <c r="B29" t="s">
        <v>97</v>
      </c>
      <c r="C29" s="12">
        <v>27</v>
      </c>
      <c r="D29" s="8">
        <v>8.49</v>
      </c>
      <c r="E29" s="12">
        <v>25</v>
      </c>
      <c r="F29" s="8">
        <v>10.87</v>
      </c>
      <c r="G29" s="12">
        <v>2</v>
      </c>
      <c r="H29" s="8">
        <v>2.41</v>
      </c>
      <c r="I29" s="12">
        <v>0</v>
      </c>
    </row>
    <row r="30" spans="2:9" ht="15" customHeight="1" x14ac:dyDescent="0.2">
      <c r="B30" t="s">
        <v>90</v>
      </c>
      <c r="C30" s="12">
        <v>22</v>
      </c>
      <c r="D30" s="8">
        <v>6.92</v>
      </c>
      <c r="E30" s="12">
        <v>18</v>
      </c>
      <c r="F30" s="8">
        <v>7.83</v>
      </c>
      <c r="G30" s="12">
        <v>4</v>
      </c>
      <c r="H30" s="8">
        <v>4.82</v>
      </c>
      <c r="I30" s="12">
        <v>0</v>
      </c>
    </row>
    <row r="31" spans="2:9" ht="15" customHeight="1" x14ac:dyDescent="0.2">
      <c r="B31" t="s">
        <v>86</v>
      </c>
      <c r="C31" s="12">
        <v>13</v>
      </c>
      <c r="D31" s="8">
        <v>4.09</v>
      </c>
      <c r="E31" s="12">
        <v>7</v>
      </c>
      <c r="F31" s="8">
        <v>3.04</v>
      </c>
      <c r="G31" s="12">
        <v>6</v>
      </c>
      <c r="H31" s="8">
        <v>7.23</v>
      </c>
      <c r="I31" s="12">
        <v>0</v>
      </c>
    </row>
    <row r="32" spans="2:9" ht="15" customHeight="1" x14ac:dyDescent="0.2">
      <c r="B32" t="s">
        <v>101</v>
      </c>
      <c r="C32" s="12">
        <v>11</v>
      </c>
      <c r="D32" s="8">
        <v>3.46</v>
      </c>
      <c r="E32" s="12">
        <v>10</v>
      </c>
      <c r="F32" s="8">
        <v>4.3499999999999996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103</v>
      </c>
      <c r="C33" s="12">
        <v>11</v>
      </c>
      <c r="D33" s="8">
        <v>3.46</v>
      </c>
      <c r="E33" s="12">
        <v>10</v>
      </c>
      <c r="F33" s="8">
        <v>4.3499999999999996</v>
      </c>
      <c r="G33" s="12">
        <v>1</v>
      </c>
      <c r="H33" s="8">
        <v>1.2</v>
      </c>
      <c r="I33" s="12">
        <v>0</v>
      </c>
    </row>
    <row r="34" spans="2:9" ht="15" customHeight="1" x14ac:dyDescent="0.2">
      <c r="B34" t="s">
        <v>89</v>
      </c>
      <c r="C34" s="12">
        <v>9</v>
      </c>
      <c r="D34" s="8">
        <v>2.83</v>
      </c>
      <c r="E34" s="12">
        <v>7</v>
      </c>
      <c r="F34" s="8">
        <v>3.04</v>
      </c>
      <c r="G34" s="12">
        <v>2</v>
      </c>
      <c r="H34" s="8">
        <v>2.41</v>
      </c>
      <c r="I34" s="12">
        <v>0</v>
      </c>
    </row>
    <row r="35" spans="2:9" ht="15" customHeight="1" x14ac:dyDescent="0.2">
      <c r="B35" t="s">
        <v>91</v>
      </c>
      <c r="C35" s="12">
        <v>9</v>
      </c>
      <c r="D35" s="8">
        <v>2.83</v>
      </c>
      <c r="E35" s="12">
        <v>6</v>
      </c>
      <c r="F35" s="8">
        <v>2.61</v>
      </c>
      <c r="G35" s="12">
        <v>3</v>
      </c>
      <c r="H35" s="8">
        <v>3.61</v>
      </c>
      <c r="I35" s="12">
        <v>0</v>
      </c>
    </row>
    <row r="36" spans="2:9" ht="15" customHeight="1" x14ac:dyDescent="0.2">
      <c r="B36" t="s">
        <v>100</v>
      </c>
      <c r="C36" s="12">
        <v>9</v>
      </c>
      <c r="D36" s="8">
        <v>2.83</v>
      </c>
      <c r="E36" s="12">
        <v>6</v>
      </c>
      <c r="F36" s="8">
        <v>2.61</v>
      </c>
      <c r="G36" s="12">
        <v>2</v>
      </c>
      <c r="H36" s="8">
        <v>2.41</v>
      </c>
      <c r="I36" s="12">
        <v>0</v>
      </c>
    </row>
    <row r="37" spans="2:9" ht="15" customHeight="1" x14ac:dyDescent="0.2">
      <c r="B37" t="s">
        <v>102</v>
      </c>
      <c r="C37" s="12">
        <v>5</v>
      </c>
      <c r="D37" s="8">
        <v>1.57</v>
      </c>
      <c r="E37" s="12">
        <v>0</v>
      </c>
      <c r="F37" s="8">
        <v>0</v>
      </c>
      <c r="G37" s="12">
        <v>4</v>
      </c>
      <c r="H37" s="8">
        <v>4.82</v>
      </c>
      <c r="I37" s="12">
        <v>0</v>
      </c>
    </row>
    <row r="38" spans="2:9" ht="15" customHeight="1" x14ac:dyDescent="0.2">
      <c r="B38" t="s">
        <v>106</v>
      </c>
      <c r="C38" s="12">
        <v>4</v>
      </c>
      <c r="D38" s="8">
        <v>1.26</v>
      </c>
      <c r="E38" s="12">
        <v>1</v>
      </c>
      <c r="F38" s="8">
        <v>0.43</v>
      </c>
      <c r="G38" s="12">
        <v>3</v>
      </c>
      <c r="H38" s="8">
        <v>3.61</v>
      </c>
      <c r="I38" s="12">
        <v>0</v>
      </c>
    </row>
    <row r="39" spans="2:9" ht="15" customHeight="1" x14ac:dyDescent="0.2">
      <c r="B39" t="s">
        <v>134</v>
      </c>
      <c r="C39" s="12">
        <v>3</v>
      </c>
      <c r="D39" s="8">
        <v>0.94</v>
      </c>
      <c r="E39" s="12">
        <v>1</v>
      </c>
      <c r="F39" s="8">
        <v>0.43</v>
      </c>
      <c r="G39" s="12">
        <v>2</v>
      </c>
      <c r="H39" s="8">
        <v>2.41</v>
      </c>
      <c r="I39" s="12">
        <v>0</v>
      </c>
    </row>
    <row r="40" spans="2:9" ht="15" customHeight="1" x14ac:dyDescent="0.2">
      <c r="B40" t="s">
        <v>104</v>
      </c>
      <c r="C40" s="12">
        <v>3</v>
      </c>
      <c r="D40" s="8">
        <v>0.94</v>
      </c>
      <c r="E40" s="12">
        <v>2</v>
      </c>
      <c r="F40" s="8">
        <v>0.87</v>
      </c>
      <c r="G40" s="12">
        <v>1</v>
      </c>
      <c r="H40" s="8">
        <v>1.2</v>
      </c>
      <c r="I40" s="12">
        <v>0</v>
      </c>
    </row>
    <row r="41" spans="2:9" ht="15" customHeight="1" x14ac:dyDescent="0.2">
      <c r="B41" t="s">
        <v>96</v>
      </c>
      <c r="C41" s="12">
        <v>3</v>
      </c>
      <c r="D41" s="8">
        <v>0.94</v>
      </c>
      <c r="E41" s="12">
        <v>0</v>
      </c>
      <c r="F41" s="8">
        <v>0</v>
      </c>
      <c r="G41" s="12">
        <v>3</v>
      </c>
      <c r="H41" s="8">
        <v>3.61</v>
      </c>
      <c r="I41" s="12">
        <v>0</v>
      </c>
    </row>
    <row r="42" spans="2:9" ht="15" customHeight="1" x14ac:dyDescent="0.2">
      <c r="B42" t="s">
        <v>107</v>
      </c>
      <c r="C42" s="12">
        <v>3</v>
      </c>
      <c r="D42" s="8">
        <v>0.94</v>
      </c>
      <c r="E42" s="12">
        <v>1</v>
      </c>
      <c r="F42" s="8">
        <v>0.43</v>
      </c>
      <c r="G42" s="12">
        <v>1</v>
      </c>
      <c r="H42" s="8">
        <v>1.2</v>
      </c>
      <c r="I42" s="12">
        <v>0</v>
      </c>
    </row>
    <row r="43" spans="2:9" ht="15" customHeight="1" x14ac:dyDescent="0.2">
      <c r="B43" t="s">
        <v>132</v>
      </c>
      <c r="C43" s="12">
        <v>2</v>
      </c>
      <c r="D43" s="8">
        <v>0.63</v>
      </c>
      <c r="E43" s="12">
        <v>2</v>
      </c>
      <c r="F43" s="8">
        <v>0.87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119</v>
      </c>
      <c r="C44" s="12">
        <v>2</v>
      </c>
      <c r="D44" s="8">
        <v>0.63</v>
      </c>
      <c r="E44" s="12">
        <v>1</v>
      </c>
      <c r="F44" s="8">
        <v>0.43</v>
      </c>
      <c r="G44" s="12">
        <v>1</v>
      </c>
      <c r="H44" s="8">
        <v>1.2</v>
      </c>
      <c r="I44" s="12">
        <v>0</v>
      </c>
    </row>
    <row r="45" spans="2:9" ht="15" customHeight="1" x14ac:dyDescent="0.2">
      <c r="B45" t="s">
        <v>131</v>
      </c>
      <c r="C45" s="12">
        <v>2</v>
      </c>
      <c r="D45" s="8">
        <v>0.63</v>
      </c>
      <c r="E45" s="12">
        <v>0</v>
      </c>
      <c r="F45" s="8">
        <v>0</v>
      </c>
      <c r="G45" s="12">
        <v>2</v>
      </c>
      <c r="H45" s="8">
        <v>2.41</v>
      </c>
      <c r="I45" s="12">
        <v>0</v>
      </c>
    </row>
    <row r="46" spans="2:9" ht="15" customHeight="1" x14ac:dyDescent="0.2">
      <c r="B46" t="s">
        <v>109</v>
      </c>
      <c r="C46" s="12">
        <v>2</v>
      </c>
      <c r="D46" s="8">
        <v>0.63</v>
      </c>
      <c r="E46" s="12">
        <v>0</v>
      </c>
      <c r="F46" s="8">
        <v>0</v>
      </c>
      <c r="G46" s="12">
        <v>2</v>
      </c>
      <c r="H46" s="8">
        <v>2.41</v>
      </c>
      <c r="I46" s="12">
        <v>0</v>
      </c>
    </row>
    <row r="47" spans="2:9" ht="15" customHeight="1" x14ac:dyDescent="0.2">
      <c r="B47" t="s">
        <v>94</v>
      </c>
      <c r="C47" s="12">
        <v>2</v>
      </c>
      <c r="D47" s="8">
        <v>0.63</v>
      </c>
      <c r="E47" s="12">
        <v>2</v>
      </c>
      <c r="F47" s="8">
        <v>0.87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112</v>
      </c>
      <c r="C48" s="12">
        <v>2</v>
      </c>
      <c r="D48" s="8">
        <v>0.63</v>
      </c>
      <c r="E48" s="12">
        <v>2</v>
      </c>
      <c r="F48" s="8">
        <v>0.87</v>
      </c>
      <c r="G48" s="12">
        <v>0</v>
      </c>
      <c r="H48" s="8">
        <v>0</v>
      </c>
      <c r="I48" s="12">
        <v>0</v>
      </c>
    </row>
    <row r="51" spans="2:9" ht="33" customHeight="1" x14ac:dyDescent="0.2">
      <c r="B51" t="s">
        <v>250</v>
      </c>
      <c r="C51" s="10" t="s">
        <v>77</v>
      </c>
      <c r="D51" s="10" t="s">
        <v>78</v>
      </c>
      <c r="E51" s="10" t="s">
        <v>79</v>
      </c>
      <c r="F51" s="10" t="s">
        <v>80</v>
      </c>
      <c r="G51" s="10" t="s">
        <v>81</v>
      </c>
      <c r="H51" s="10" t="s">
        <v>82</v>
      </c>
      <c r="I51" s="10" t="s">
        <v>83</v>
      </c>
    </row>
    <row r="52" spans="2:9" ht="15" customHeight="1" x14ac:dyDescent="0.2">
      <c r="B52" t="s">
        <v>223</v>
      </c>
      <c r="C52" s="12">
        <v>28</v>
      </c>
      <c r="D52" s="8">
        <v>8.81</v>
      </c>
      <c r="E52" s="12">
        <v>26</v>
      </c>
      <c r="F52" s="8">
        <v>11.3</v>
      </c>
      <c r="G52" s="12">
        <v>2</v>
      </c>
      <c r="H52" s="8">
        <v>2.41</v>
      </c>
      <c r="I52" s="12">
        <v>0</v>
      </c>
    </row>
    <row r="53" spans="2:9" ht="15" customHeight="1" x14ac:dyDescent="0.2">
      <c r="B53" t="s">
        <v>163</v>
      </c>
      <c r="C53" s="12">
        <v>20</v>
      </c>
      <c r="D53" s="8">
        <v>6.29</v>
      </c>
      <c r="E53" s="12">
        <v>19</v>
      </c>
      <c r="F53" s="8">
        <v>8.26</v>
      </c>
      <c r="G53" s="12">
        <v>1</v>
      </c>
      <c r="H53" s="8">
        <v>1.2</v>
      </c>
      <c r="I53" s="12">
        <v>0</v>
      </c>
    </row>
    <row r="54" spans="2:9" ht="15" customHeight="1" x14ac:dyDescent="0.2">
      <c r="B54" t="s">
        <v>164</v>
      </c>
      <c r="C54" s="12">
        <v>18</v>
      </c>
      <c r="D54" s="8">
        <v>5.66</v>
      </c>
      <c r="E54" s="12">
        <v>18</v>
      </c>
      <c r="F54" s="8">
        <v>7.83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150</v>
      </c>
      <c r="C55" s="12">
        <v>14</v>
      </c>
      <c r="D55" s="8">
        <v>4.4000000000000004</v>
      </c>
      <c r="E55" s="12">
        <v>11</v>
      </c>
      <c r="F55" s="8">
        <v>4.78</v>
      </c>
      <c r="G55" s="12">
        <v>3</v>
      </c>
      <c r="H55" s="8">
        <v>3.61</v>
      </c>
      <c r="I55" s="12">
        <v>0</v>
      </c>
    </row>
    <row r="56" spans="2:9" ht="15" customHeight="1" x14ac:dyDescent="0.2">
      <c r="B56" t="s">
        <v>191</v>
      </c>
      <c r="C56" s="12">
        <v>11</v>
      </c>
      <c r="D56" s="8">
        <v>3.46</v>
      </c>
      <c r="E56" s="12">
        <v>6</v>
      </c>
      <c r="F56" s="8">
        <v>2.61</v>
      </c>
      <c r="G56" s="12">
        <v>5</v>
      </c>
      <c r="H56" s="8">
        <v>6.02</v>
      </c>
      <c r="I56" s="12">
        <v>0</v>
      </c>
    </row>
    <row r="57" spans="2:9" ht="15" customHeight="1" x14ac:dyDescent="0.2">
      <c r="B57" t="s">
        <v>167</v>
      </c>
      <c r="C57" s="12">
        <v>11</v>
      </c>
      <c r="D57" s="8">
        <v>3.46</v>
      </c>
      <c r="E57" s="12">
        <v>10</v>
      </c>
      <c r="F57" s="8">
        <v>4.3499999999999996</v>
      </c>
      <c r="G57" s="12">
        <v>1</v>
      </c>
      <c r="H57" s="8">
        <v>1.2</v>
      </c>
      <c r="I57" s="12">
        <v>0</v>
      </c>
    </row>
    <row r="58" spans="2:9" ht="15" customHeight="1" x14ac:dyDescent="0.2">
      <c r="B58" t="s">
        <v>162</v>
      </c>
      <c r="C58" s="12">
        <v>10</v>
      </c>
      <c r="D58" s="8">
        <v>3.14</v>
      </c>
      <c r="E58" s="12">
        <v>9</v>
      </c>
      <c r="F58" s="8">
        <v>3.91</v>
      </c>
      <c r="G58" s="12">
        <v>1</v>
      </c>
      <c r="H58" s="8">
        <v>1.2</v>
      </c>
      <c r="I58" s="12">
        <v>0</v>
      </c>
    </row>
    <row r="59" spans="2:9" ht="15" customHeight="1" x14ac:dyDescent="0.2">
      <c r="B59" t="s">
        <v>154</v>
      </c>
      <c r="C59" s="12">
        <v>9</v>
      </c>
      <c r="D59" s="8">
        <v>2.83</v>
      </c>
      <c r="E59" s="12">
        <v>7</v>
      </c>
      <c r="F59" s="8">
        <v>3.04</v>
      </c>
      <c r="G59" s="12">
        <v>2</v>
      </c>
      <c r="H59" s="8">
        <v>2.41</v>
      </c>
      <c r="I59" s="12">
        <v>0</v>
      </c>
    </row>
    <row r="60" spans="2:9" ht="15" customHeight="1" x14ac:dyDescent="0.2">
      <c r="B60" t="s">
        <v>166</v>
      </c>
      <c r="C60" s="12">
        <v>8</v>
      </c>
      <c r="D60" s="8">
        <v>2.52</v>
      </c>
      <c r="E60" s="12">
        <v>8</v>
      </c>
      <c r="F60" s="8">
        <v>3.48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177</v>
      </c>
      <c r="C61" s="12">
        <v>7</v>
      </c>
      <c r="D61" s="8">
        <v>2.2000000000000002</v>
      </c>
      <c r="E61" s="12">
        <v>5</v>
      </c>
      <c r="F61" s="8">
        <v>2.17</v>
      </c>
      <c r="G61" s="12">
        <v>2</v>
      </c>
      <c r="H61" s="8">
        <v>2.41</v>
      </c>
      <c r="I61" s="12">
        <v>0</v>
      </c>
    </row>
    <row r="62" spans="2:9" ht="15" customHeight="1" x14ac:dyDescent="0.2">
      <c r="B62" t="s">
        <v>155</v>
      </c>
      <c r="C62" s="12">
        <v>7</v>
      </c>
      <c r="D62" s="8">
        <v>2.2000000000000002</v>
      </c>
      <c r="E62" s="12">
        <v>4</v>
      </c>
      <c r="F62" s="8">
        <v>1.74</v>
      </c>
      <c r="G62" s="12">
        <v>3</v>
      </c>
      <c r="H62" s="8">
        <v>3.61</v>
      </c>
      <c r="I62" s="12">
        <v>0</v>
      </c>
    </row>
    <row r="63" spans="2:9" ht="15" customHeight="1" x14ac:dyDescent="0.2">
      <c r="B63" t="s">
        <v>148</v>
      </c>
      <c r="C63" s="12">
        <v>6</v>
      </c>
      <c r="D63" s="8">
        <v>1.89</v>
      </c>
      <c r="E63" s="12">
        <v>1</v>
      </c>
      <c r="F63" s="8">
        <v>0.43</v>
      </c>
      <c r="G63" s="12">
        <v>5</v>
      </c>
      <c r="H63" s="8">
        <v>6.02</v>
      </c>
      <c r="I63" s="12">
        <v>0</v>
      </c>
    </row>
    <row r="64" spans="2:9" ht="15" customHeight="1" x14ac:dyDescent="0.2">
      <c r="B64" t="s">
        <v>149</v>
      </c>
      <c r="C64" s="12">
        <v>6</v>
      </c>
      <c r="D64" s="8">
        <v>1.89</v>
      </c>
      <c r="E64" s="12">
        <v>3</v>
      </c>
      <c r="F64" s="8">
        <v>1.3</v>
      </c>
      <c r="G64" s="12">
        <v>3</v>
      </c>
      <c r="H64" s="8">
        <v>3.61</v>
      </c>
      <c r="I64" s="12">
        <v>0</v>
      </c>
    </row>
    <row r="65" spans="2:9" ht="15" customHeight="1" x14ac:dyDescent="0.2">
      <c r="B65" t="s">
        <v>197</v>
      </c>
      <c r="C65" s="12">
        <v>6</v>
      </c>
      <c r="D65" s="8">
        <v>1.89</v>
      </c>
      <c r="E65" s="12">
        <v>6</v>
      </c>
      <c r="F65" s="8">
        <v>2.61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152</v>
      </c>
      <c r="C66" s="12">
        <v>6</v>
      </c>
      <c r="D66" s="8">
        <v>1.89</v>
      </c>
      <c r="E66" s="12">
        <v>4</v>
      </c>
      <c r="F66" s="8">
        <v>1.74</v>
      </c>
      <c r="G66" s="12">
        <v>2</v>
      </c>
      <c r="H66" s="8">
        <v>2.41</v>
      </c>
      <c r="I66" s="12">
        <v>0</v>
      </c>
    </row>
    <row r="67" spans="2:9" ht="15" customHeight="1" x14ac:dyDescent="0.2">
      <c r="B67" t="s">
        <v>153</v>
      </c>
      <c r="C67" s="12">
        <v>6</v>
      </c>
      <c r="D67" s="8">
        <v>1.89</v>
      </c>
      <c r="E67" s="12">
        <v>3</v>
      </c>
      <c r="F67" s="8">
        <v>1.3</v>
      </c>
      <c r="G67" s="12">
        <v>3</v>
      </c>
      <c r="H67" s="8">
        <v>3.61</v>
      </c>
      <c r="I67" s="12">
        <v>0</v>
      </c>
    </row>
    <row r="68" spans="2:9" ht="15" customHeight="1" x14ac:dyDescent="0.2">
      <c r="B68" t="s">
        <v>190</v>
      </c>
      <c r="C68" s="12">
        <v>6</v>
      </c>
      <c r="D68" s="8">
        <v>1.89</v>
      </c>
      <c r="E68" s="12">
        <v>6</v>
      </c>
      <c r="F68" s="8">
        <v>2.61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192</v>
      </c>
      <c r="C69" s="12">
        <v>6</v>
      </c>
      <c r="D69" s="8">
        <v>1.89</v>
      </c>
      <c r="E69" s="12">
        <v>5</v>
      </c>
      <c r="F69" s="8">
        <v>2.17</v>
      </c>
      <c r="G69" s="12">
        <v>1</v>
      </c>
      <c r="H69" s="8">
        <v>1.2</v>
      </c>
      <c r="I69" s="12">
        <v>0</v>
      </c>
    </row>
    <row r="70" spans="2:9" ht="15" customHeight="1" x14ac:dyDescent="0.2">
      <c r="B70" t="s">
        <v>161</v>
      </c>
      <c r="C70" s="12">
        <v>6</v>
      </c>
      <c r="D70" s="8">
        <v>1.89</v>
      </c>
      <c r="E70" s="12">
        <v>6</v>
      </c>
      <c r="F70" s="8">
        <v>2.61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219</v>
      </c>
      <c r="C71" s="12">
        <v>5</v>
      </c>
      <c r="D71" s="8">
        <v>1.57</v>
      </c>
      <c r="E71" s="12">
        <v>5</v>
      </c>
      <c r="F71" s="8">
        <v>2.17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156</v>
      </c>
      <c r="C72" s="12">
        <v>5</v>
      </c>
      <c r="D72" s="8">
        <v>1.57</v>
      </c>
      <c r="E72" s="12">
        <v>3</v>
      </c>
      <c r="F72" s="8">
        <v>1.3</v>
      </c>
      <c r="G72" s="12">
        <v>2</v>
      </c>
      <c r="H72" s="8">
        <v>2.41</v>
      </c>
      <c r="I72" s="12">
        <v>0</v>
      </c>
    </row>
    <row r="73" spans="2:9" ht="15" customHeight="1" x14ac:dyDescent="0.2">
      <c r="B73" t="s">
        <v>169</v>
      </c>
      <c r="C73" s="12">
        <v>5</v>
      </c>
      <c r="D73" s="8">
        <v>1.57</v>
      </c>
      <c r="E73" s="12">
        <v>1</v>
      </c>
      <c r="F73" s="8">
        <v>0.43</v>
      </c>
      <c r="G73" s="12">
        <v>4</v>
      </c>
      <c r="H73" s="8">
        <v>4.82</v>
      </c>
      <c r="I73" s="12">
        <v>0</v>
      </c>
    </row>
    <row r="75" spans="2:9" ht="15" customHeight="1" x14ac:dyDescent="0.2">
      <c r="B75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43EF-E09B-4548-AE41-0E394B3E3C8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300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87</v>
      </c>
      <c r="D6" s="8">
        <v>20.14</v>
      </c>
      <c r="E6" s="12">
        <v>37</v>
      </c>
      <c r="F6" s="8">
        <v>15.04</v>
      </c>
      <c r="G6" s="12">
        <v>50</v>
      </c>
      <c r="H6" s="8">
        <v>27.47</v>
      </c>
      <c r="I6" s="12">
        <v>0</v>
      </c>
    </row>
    <row r="7" spans="2:9" ht="15" customHeight="1" x14ac:dyDescent="0.2">
      <c r="B7" t="s">
        <v>63</v>
      </c>
      <c r="C7" s="12">
        <v>68</v>
      </c>
      <c r="D7" s="8">
        <v>15.74</v>
      </c>
      <c r="E7" s="12">
        <v>32</v>
      </c>
      <c r="F7" s="8">
        <v>13.01</v>
      </c>
      <c r="G7" s="12">
        <v>36</v>
      </c>
      <c r="H7" s="8">
        <v>19.78</v>
      </c>
      <c r="I7" s="12">
        <v>0</v>
      </c>
    </row>
    <row r="8" spans="2:9" ht="15" customHeight="1" x14ac:dyDescent="0.2">
      <c r="B8" t="s">
        <v>64</v>
      </c>
      <c r="C8" s="12">
        <v>1</v>
      </c>
      <c r="D8" s="8">
        <v>0.23</v>
      </c>
      <c r="E8" s="12">
        <v>0</v>
      </c>
      <c r="F8" s="8">
        <v>0</v>
      </c>
      <c r="G8" s="12">
        <v>1</v>
      </c>
      <c r="H8" s="8">
        <v>0.55000000000000004</v>
      </c>
      <c r="I8" s="12">
        <v>0</v>
      </c>
    </row>
    <row r="9" spans="2:9" ht="15" customHeight="1" x14ac:dyDescent="0.2">
      <c r="B9" t="s">
        <v>65</v>
      </c>
      <c r="C9" s="12">
        <v>2</v>
      </c>
      <c r="D9" s="8">
        <v>0.46</v>
      </c>
      <c r="E9" s="12">
        <v>0</v>
      </c>
      <c r="F9" s="8">
        <v>0</v>
      </c>
      <c r="G9" s="12">
        <v>2</v>
      </c>
      <c r="H9" s="8">
        <v>1.1000000000000001</v>
      </c>
      <c r="I9" s="12">
        <v>0</v>
      </c>
    </row>
    <row r="10" spans="2:9" ht="15" customHeight="1" x14ac:dyDescent="0.2">
      <c r="B10" t="s">
        <v>66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67</v>
      </c>
      <c r="C11" s="12">
        <v>85</v>
      </c>
      <c r="D11" s="8">
        <v>19.68</v>
      </c>
      <c r="E11" s="12">
        <v>49</v>
      </c>
      <c r="F11" s="8">
        <v>19.920000000000002</v>
      </c>
      <c r="G11" s="12">
        <v>36</v>
      </c>
      <c r="H11" s="8">
        <v>19.78</v>
      </c>
      <c r="I11" s="12">
        <v>0</v>
      </c>
    </row>
    <row r="12" spans="2:9" ht="15" customHeight="1" x14ac:dyDescent="0.2">
      <c r="B12" t="s">
        <v>68</v>
      </c>
      <c r="C12" s="12">
        <v>1</v>
      </c>
      <c r="D12" s="8">
        <v>0.23</v>
      </c>
      <c r="E12" s="12">
        <v>0</v>
      </c>
      <c r="F12" s="8">
        <v>0</v>
      </c>
      <c r="G12" s="12">
        <v>1</v>
      </c>
      <c r="H12" s="8">
        <v>0.55000000000000004</v>
      </c>
      <c r="I12" s="12">
        <v>0</v>
      </c>
    </row>
    <row r="13" spans="2:9" ht="15" customHeight="1" x14ac:dyDescent="0.2">
      <c r="B13" t="s">
        <v>69</v>
      </c>
      <c r="C13" s="12">
        <v>12</v>
      </c>
      <c r="D13" s="8">
        <v>2.78</v>
      </c>
      <c r="E13" s="12">
        <v>2</v>
      </c>
      <c r="F13" s="8">
        <v>0.81</v>
      </c>
      <c r="G13" s="12">
        <v>10</v>
      </c>
      <c r="H13" s="8">
        <v>5.49</v>
      </c>
      <c r="I13" s="12">
        <v>0</v>
      </c>
    </row>
    <row r="14" spans="2:9" ht="15" customHeight="1" x14ac:dyDescent="0.2">
      <c r="B14" t="s">
        <v>70</v>
      </c>
      <c r="C14" s="12">
        <v>10</v>
      </c>
      <c r="D14" s="8">
        <v>2.31</v>
      </c>
      <c r="E14" s="12">
        <v>4</v>
      </c>
      <c r="F14" s="8">
        <v>1.63</v>
      </c>
      <c r="G14" s="12">
        <v>6</v>
      </c>
      <c r="H14" s="8">
        <v>3.3</v>
      </c>
      <c r="I14" s="12">
        <v>0</v>
      </c>
    </row>
    <row r="15" spans="2:9" ht="15" customHeight="1" x14ac:dyDescent="0.2">
      <c r="B15" t="s">
        <v>71</v>
      </c>
      <c r="C15" s="12">
        <v>62</v>
      </c>
      <c r="D15" s="8">
        <v>14.35</v>
      </c>
      <c r="E15" s="12">
        <v>45</v>
      </c>
      <c r="F15" s="8">
        <v>18.29</v>
      </c>
      <c r="G15" s="12">
        <v>16</v>
      </c>
      <c r="H15" s="8">
        <v>8.7899999999999991</v>
      </c>
      <c r="I15" s="12">
        <v>0</v>
      </c>
    </row>
    <row r="16" spans="2:9" ht="15" customHeight="1" x14ac:dyDescent="0.2">
      <c r="B16" t="s">
        <v>72</v>
      </c>
      <c r="C16" s="12">
        <v>60</v>
      </c>
      <c r="D16" s="8">
        <v>13.89</v>
      </c>
      <c r="E16" s="12">
        <v>52</v>
      </c>
      <c r="F16" s="8">
        <v>21.14</v>
      </c>
      <c r="G16" s="12">
        <v>8</v>
      </c>
      <c r="H16" s="8">
        <v>4.4000000000000004</v>
      </c>
      <c r="I16" s="12">
        <v>0</v>
      </c>
    </row>
    <row r="17" spans="2:9" ht="15" customHeight="1" x14ac:dyDescent="0.2">
      <c r="B17" t="s">
        <v>73</v>
      </c>
      <c r="C17" s="12">
        <v>5</v>
      </c>
      <c r="D17" s="8">
        <v>1.1599999999999999</v>
      </c>
      <c r="E17" s="12">
        <v>4</v>
      </c>
      <c r="F17" s="8">
        <v>1.63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74</v>
      </c>
      <c r="C18" s="12">
        <v>17</v>
      </c>
      <c r="D18" s="8">
        <v>3.94</v>
      </c>
      <c r="E18" s="12">
        <v>12</v>
      </c>
      <c r="F18" s="8">
        <v>4.88</v>
      </c>
      <c r="G18" s="12">
        <v>3</v>
      </c>
      <c r="H18" s="8">
        <v>1.65</v>
      </c>
      <c r="I18" s="12">
        <v>0</v>
      </c>
    </row>
    <row r="19" spans="2:9" ht="15" customHeight="1" x14ac:dyDescent="0.2">
      <c r="B19" t="s">
        <v>75</v>
      </c>
      <c r="C19" s="12">
        <v>22</v>
      </c>
      <c r="D19" s="8">
        <v>5.09</v>
      </c>
      <c r="E19" s="12">
        <v>9</v>
      </c>
      <c r="F19" s="8">
        <v>3.66</v>
      </c>
      <c r="G19" s="12">
        <v>13</v>
      </c>
      <c r="H19" s="8">
        <v>7.14</v>
      </c>
      <c r="I19" s="12">
        <v>0</v>
      </c>
    </row>
    <row r="20" spans="2:9" ht="15" customHeight="1" x14ac:dyDescent="0.2">
      <c r="B20" s="9" t="s">
        <v>248</v>
      </c>
      <c r="C20" s="12">
        <f>SUM(LTBL_12403[総数／事業所数])</f>
        <v>432</v>
      </c>
      <c r="E20" s="12">
        <f>SUBTOTAL(109,LTBL_12403[個人／事業所数])</f>
        <v>246</v>
      </c>
      <c r="G20" s="12">
        <f>SUBTOTAL(109,LTBL_12403[法人／事業所数])</f>
        <v>182</v>
      </c>
      <c r="I20" s="12">
        <f>SUBTOTAL(109,LTBL_12403[法人以外の団体／事業所数])</f>
        <v>0</v>
      </c>
    </row>
    <row r="21" spans="2:9" ht="15" customHeight="1" x14ac:dyDescent="0.2">
      <c r="E21" s="11">
        <f>LTBL_12403[[#Totals],[個人／事業所数]]/LTBL_12403[[#Totals],[総数／事業所数]]</f>
        <v>0.56944444444444442</v>
      </c>
      <c r="G21" s="11">
        <f>LTBL_12403[[#Totals],[法人／事業所数]]/LTBL_12403[[#Totals],[総数／事業所数]]</f>
        <v>0.42129629629629628</v>
      </c>
      <c r="I21" s="11">
        <f>LTBL_12403[[#Totals],[法人以外の団体／事業所数]]/LTBL_12403[[#Totals],[総数／事業所数]]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53</v>
      </c>
      <c r="D24" s="8">
        <v>12.27</v>
      </c>
      <c r="E24" s="12">
        <v>47</v>
      </c>
      <c r="F24" s="8">
        <v>19.11</v>
      </c>
      <c r="G24" s="12">
        <v>6</v>
      </c>
      <c r="H24" s="8">
        <v>3.3</v>
      </c>
      <c r="I24" s="12">
        <v>0</v>
      </c>
    </row>
    <row r="25" spans="2:9" ht="15" customHeight="1" x14ac:dyDescent="0.2">
      <c r="B25" t="s">
        <v>97</v>
      </c>
      <c r="C25" s="12">
        <v>49</v>
      </c>
      <c r="D25" s="8">
        <v>11.34</v>
      </c>
      <c r="E25" s="12">
        <v>39</v>
      </c>
      <c r="F25" s="8">
        <v>15.85</v>
      </c>
      <c r="G25" s="12">
        <v>10</v>
      </c>
      <c r="H25" s="8">
        <v>5.49</v>
      </c>
      <c r="I25" s="12">
        <v>0</v>
      </c>
    </row>
    <row r="26" spans="2:9" ht="15" customHeight="1" x14ac:dyDescent="0.2">
      <c r="B26" t="s">
        <v>84</v>
      </c>
      <c r="C26" s="12">
        <v>41</v>
      </c>
      <c r="D26" s="8">
        <v>9.49</v>
      </c>
      <c r="E26" s="12">
        <v>13</v>
      </c>
      <c r="F26" s="8">
        <v>5.28</v>
      </c>
      <c r="G26" s="12">
        <v>28</v>
      </c>
      <c r="H26" s="8">
        <v>15.38</v>
      </c>
      <c r="I26" s="12">
        <v>0</v>
      </c>
    </row>
    <row r="27" spans="2:9" ht="15" customHeight="1" x14ac:dyDescent="0.2">
      <c r="B27" t="s">
        <v>110</v>
      </c>
      <c r="C27" s="12">
        <v>30</v>
      </c>
      <c r="D27" s="8">
        <v>6.94</v>
      </c>
      <c r="E27" s="12">
        <v>17</v>
      </c>
      <c r="F27" s="8">
        <v>6.91</v>
      </c>
      <c r="G27" s="12">
        <v>13</v>
      </c>
      <c r="H27" s="8">
        <v>7.14</v>
      </c>
      <c r="I27" s="12">
        <v>0</v>
      </c>
    </row>
    <row r="28" spans="2:9" ht="15" customHeight="1" x14ac:dyDescent="0.2">
      <c r="B28" t="s">
        <v>92</v>
      </c>
      <c r="C28" s="12">
        <v>27</v>
      </c>
      <c r="D28" s="8">
        <v>6.25</v>
      </c>
      <c r="E28" s="12">
        <v>12</v>
      </c>
      <c r="F28" s="8">
        <v>4.88</v>
      </c>
      <c r="G28" s="12">
        <v>15</v>
      </c>
      <c r="H28" s="8">
        <v>8.24</v>
      </c>
      <c r="I28" s="12">
        <v>0</v>
      </c>
    </row>
    <row r="29" spans="2:9" ht="15" customHeight="1" x14ac:dyDescent="0.2">
      <c r="B29" t="s">
        <v>85</v>
      </c>
      <c r="C29" s="12">
        <v>23</v>
      </c>
      <c r="D29" s="8">
        <v>5.32</v>
      </c>
      <c r="E29" s="12">
        <v>16</v>
      </c>
      <c r="F29" s="8">
        <v>6.5</v>
      </c>
      <c r="G29" s="12">
        <v>7</v>
      </c>
      <c r="H29" s="8">
        <v>3.85</v>
      </c>
      <c r="I29" s="12">
        <v>0</v>
      </c>
    </row>
    <row r="30" spans="2:9" ht="15" customHeight="1" x14ac:dyDescent="0.2">
      <c r="B30" t="s">
        <v>86</v>
      </c>
      <c r="C30" s="12">
        <v>23</v>
      </c>
      <c r="D30" s="8">
        <v>5.32</v>
      </c>
      <c r="E30" s="12">
        <v>8</v>
      </c>
      <c r="F30" s="8">
        <v>3.25</v>
      </c>
      <c r="G30" s="12">
        <v>15</v>
      </c>
      <c r="H30" s="8">
        <v>8.24</v>
      </c>
      <c r="I30" s="12">
        <v>0</v>
      </c>
    </row>
    <row r="31" spans="2:9" ht="15" customHeight="1" x14ac:dyDescent="0.2">
      <c r="B31" t="s">
        <v>90</v>
      </c>
      <c r="C31" s="12">
        <v>23</v>
      </c>
      <c r="D31" s="8">
        <v>5.32</v>
      </c>
      <c r="E31" s="12">
        <v>20</v>
      </c>
      <c r="F31" s="8">
        <v>8.1300000000000008</v>
      </c>
      <c r="G31" s="12">
        <v>3</v>
      </c>
      <c r="H31" s="8">
        <v>1.65</v>
      </c>
      <c r="I31" s="12">
        <v>0</v>
      </c>
    </row>
    <row r="32" spans="2:9" ht="15" customHeight="1" x14ac:dyDescent="0.2">
      <c r="B32" t="s">
        <v>103</v>
      </c>
      <c r="C32" s="12">
        <v>15</v>
      </c>
      <c r="D32" s="8">
        <v>3.47</v>
      </c>
      <c r="E32" s="12">
        <v>9</v>
      </c>
      <c r="F32" s="8">
        <v>3.66</v>
      </c>
      <c r="G32" s="12">
        <v>6</v>
      </c>
      <c r="H32" s="8">
        <v>3.3</v>
      </c>
      <c r="I32" s="12">
        <v>0</v>
      </c>
    </row>
    <row r="33" spans="2:9" ht="15" customHeight="1" x14ac:dyDescent="0.2">
      <c r="B33" t="s">
        <v>101</v>
      </c>
      <c r="C33" s="12">
        <v>12</v>
      </c>
      <c r="D33" s="8">
        <v>2.78</v>
      </c>
      <c r="E33" s="12">
        <v>12</v>
      </c>
      <c r="F33" s="8">
        <v>4.88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91</v>
      </c>
      <c r="C34" s="12">
        <v>10</v>
      </c>
      <c r="D34" s="8">
        <v>2.31</v>
      </c>
      <c r="E34" s="12">
        <v>7</v>
      </c>
      <c r="F34" s="8">
        <v>2.85</v>
      </c>
      <c r="G34" s="12">
        <v>3</v>
      </c>
      <c r="H34" s="8">
        <v>1.65</v>
      </c>
      <c r="I34" s="12">
        <v>0</v>
      </c>
    </row>
    <row r="35" spans="2:9" ht="15" customHeight="1" x14ac:dyDescent="0.2">
      <c r="B35" t="s">
        <v>94</v>
      </c>
      <c r="C35" s="12">
        <v>9</v>
      </c>
      <c r="D35" s="8">
        <v>2.08</v>
      </c>
      <c r="E35" s="12">
        <v>1</v>
      </c>
      <c r="F35" s="8">
        <v>0.41</v>
      </c>
      <c r="G35" s="12">
        <v>8</v>
      </c>
      <c r="H35" s="8">
        <v>4.4000000000000004</v>
      </c>
      <c r="I35" s="12">
        <v>0</v>
      </c>
    </row>
    <row r="36" spans="2:9" ht="15" customHeight="1" x14ac:dyDescent="0.2">
      <c r="B36" t="s">
        <v>111</v>
      </c>
      <c r="C36" s="12">
        <v>9</v>
      </c>
      <c r="D36" s="8">
        <v>2.08</v>
      </c>
      <c r="E36" s="12">
        <v>4</v>
      </c>
      <c r="F36" s="8">
        <v>1.63</v>
      </c>
      <c r="G36" s="12">
        <v>5</v>
      </c>
      <c r="H36" s="8">
        <v>2.75</v>
      </c>
      <c r="I36" s="12">
        <v>0</v>
      </c>
    </row>
    <row r="37" spans="2:9" ht="15" customHeight="1" x14ac:dyDescent="0.2">
      <c r="B37" t="s">
        <v>89</v>
      </c>
      <c r="C37" s="12">
        <v>8</v>
      </c>
      <c r="D37" s="8">
        <v>1.85</v>
      </c>
      <c r="E37" s="12">
        <v>5</v>
      </c>
      <c r="F37" s="8">
        <v>2.0299999999999998</v>
      </c>
      <c r="G37" s="12">
        <v>3</v>
      </c>
      <c r="H37" s="8">
        <v>1.65</v>
      </c>
      <c r="I37" s="12">
        <v>0</v>
      </c>
    </row>
    <row r="38" spans="2:9" ht="15" customHeight="1" x14ac:dyDescent="0.2">
      <c r="B38" t="s">
        <v>96</v>
      </c>
      <c r="C38" s="12">
        <v>7</v>
      </c>
      <c r="D38" s="8">
        <v>1.62</v>
      </c>
      <c r="E38" s="12">
        <v>2</v>
      </c>
      <c r="F38" s="8">
        <v>0.81</v>
      </c>
      <c r="G38" s="12">
        <v>5</v>
      </c>
      <c r="H38" s="8">
        <v>2.75</v>
      </c>
      <c r="I38" s="12">
        <v>0</v>
      </c>
    </row>
    <row r="39" spans="2:9" ht="15" customHeight="1" x14ac:dyDescent="0.2">
      <c r="B39" t="s">
        <v>117</v>
      </c>
      <c r="C39" s="12">
        <v>6</v>
      </c>
      <c r="D39" s="8">
        <v>1.39</v>
      </c>
      <c r="E39" s="12">
        <v>1</v>
      </c>
      <c r="F39" s="8">
        <v>0.41</v>
      </c>
      <c r="G39" s="12">
        <v>5</v>
      </c>
      <c r="H39" s="8">
        <v>2.75</v>
      </c>
      <c r="I39" s="12">
        <v>0</v>
      </c>
    </row>
    <row r="40" spans="2:9" ht="15" customHeight="1" x14ac:dyDescent="0.2">
      <c r="B40" t="s">
        <v>106</v>
      </c>
      <c r="C40" s="12">
        <v>5</v>
      </c>
      <c r="D40" s="8">
        <v>1.1599999999999999</v>
      </c>
      <c r="E40" s="12">
        <v>2</v>
      </c>
      <c r="F40" s="8">
        <v>0.81</v>
      </c>
      <c r="G40" s="12">
        <v>3</v>
      </c>
      <c r="H40" s="8">
        <v>1.65</v>
      </c>
      <c r="I40" s="12">
        <v>0</v>
      </c>
    </row>
    <row r="41" spans="2:9" ht="15" customHeight="1" x14ac:dyDescent="0.2">
      <c r="B41" t="s">
        <v>87</v>
      </c>
      <c r="C41" s="12">
        <v>5</v>
      </c>
      <c r="D41" s="8">
        <v>1.1599999999999999</v>
      </c>
      <c r="E41" s="12">
        <v>3</v>
      </c>
      <c r="F41" s="8">
        <v>1.22</v>
      </c>
      <c r="G41" s="12">
        <v>2</v>
      </c>
      <c r="H41" s="8">
        <v>1.1000000000000001</v>
      </c>
      <c r="I41" s="12">
        <v>0</v>
      </c>
    </row>
    <row r="42" spans="2:9" ht="15" customHeight="1" x14ac:dyDescent="0.2">
      <c r="B42" t="s">
        <v>100</v>
      </c>
      <c r="C42" s="12">
        <v>5</v>
      </c>
      <c r="D42" s="8">
        <v>1.1599999999999999</v>
      </c>
      <c r="E42" s="12">
        <v>4</v>
      </c>
      <c r="F42" s="8">
        <v>1.63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102</v>
      </c>
      <c r="C43" s="12">
        <v>5</v>
      </c>
      <c r="D43" s="8">
        <v>1.1599999999999999</v>
      </c>
      <c r="E43" s="12">
        <v>0</v>
      </c>
      <c r="F43" s="8">
        <v>0</v>
      </c>
      <c r="G43" s="12">
        <v>3</v>
      </c>
      <c r="H43" s="8">
        <v>1.65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164</v>
      </c>
      <c r="C47" s="12">
        <v>28</v>
      </c>
      <c r="D47" s="8">
        <v>6.48</v>
      </c>
      <c r="E47" s="12">
        <v>27</v>
      </c>
      <c r="F47" s="8">
        <v>10.98</v>
      </c>
      <c r="G47" s="12">
        <v>1</v>
      </c>
      <c r="H47" s="8">
        <v>0.55000000000000004</v>
      </c>
      <c r="I47" s="12">
        <v>0</v>
      </c>
    </row>
    <row r="48" spans="2:9" ht="15" customHeight="1" x14ac:dyDescent="0.2">
      <c r="B48" t="s">
        <v>187</v>
      </c>
      <c r="C48" s="12">
        <v>26</v>
      </c>
      <c r="D48" s="8">
        <v>6.02</v>
      </c>
      <c r="E48" s="12">
        <v>17</v>
      </c>
      <c r="F48" s="8">
        <v>6.91</v>
      </c>
      <c r="G48" s="12">
        <v>9</v>
      </c>
      <c r="H48" s="8">
        <v>4.95</v>
      </c>
      <c r="I48" s="12">
        <v>0</v>
      </c>
    </row>
    <row r="49" spans="2:9" ht="15" customHeight="1" x14ac:dyDescent="0.2">
      <c r="B49" t="s">
        <v>152</v>
      </c>
      <c r="C49" s="12">
        <v>16</v>
      </c>
      <c r="D49" s="8">
        <v>3.7</v>
      </c>
      <c r="E49" s="12">
        <v>4</v>
      </c>
      <c r="F49" s="8">
        <v>1.63</v>
      </c>
      <c r="G49" s="12">
        <v>12</v>
      </c>
      <c r="H49" s="8">
        <v>6.59</v>
      </c>
      <c r="I49" s="12">
        <v>0</v>
      </c>
    </row>
    <row r="50" spans="2:9" ht="15" customHeight="1" x14ac:dyDescent="0.2">
      <c r="B50" t="s">
        <v>163</v>
      </c>
      <c r="C50" s="12">
        <v>16</v>
      </c>
      <c r="D50" s="8">
        <v>3.7</v>
      </c>
      <c r="E50" s="12">
        <v>15</v>
      </c>
      <c r="F50" s="8">
        <v>6.1</v>
      </c>
      <c r="G50" s="12">
        <v>1</v>
      </c>
      <c r="H50" s="8">
        <v>0.55000000000000004</v>
      </c>
      <c r="I50" s="12">
        <v>0</v>
      </c>
    </row>
    <row r="51" spans="2:9" ht="15" customHeight="1" x14ac:dyDescent="0.2">
      <c r="B51" t="s">
        <v>167</v>
      </c>
      <c r="C51" s="12">
        <v>15</v>
      </c>
      <c r="D51" s="8">
        <v>3.47</v>
      </c>
      <c r="E51" s="12">
        <v>9</v>
      </c>
      <c r="F51" s="8">
        <v>3.66</v>
      </c>
      <c r="G51" s="12">
        <v>6</v>
      </c>
      <c r="H51" s="8">
        <v>3.3</v>
      </c>
      <c r="I51" s="12">
        <v>0</v>
      </c>
    </row>
    <row r="52" spans="2:9" ht="15" customHeight="1" x14ac:dyDescent="0.2">
      <c r="B52" t="s">
        <v>150</v>
      </c>
      <c r="C52" s="12">
        <v>13</v>
      </c>
      <c r="D52" s="8">
        <v>3.01</v>
      </c>
      <c r="E52" s="12">
        <v>9</v>
      </c>
      <c r="F52" s="8">
        <v>3.66</v>
      </c>
      <c r="G52" s="12">
        <v>4</v>
      </c>
      <c r="H52" s="8">
        <v>2.2000000000000002</v>
      </c>
      <c r="I52" s="12">
        <v>0</v>
      </c>
    </row>
    <row r="53" spans="2:9" ht="15" customHeight="1" x14ac:dyDescent="0.2">
      <c r="B53" t="s">
        <v>192</v>
      </c>
      <c r="C53" s="12">
        <v>13</v>
      </c>
      <c r="D53" s="8">
        <v>3.01</v>
      </c>
      <c r="E53" s="12">
        <v>12</v>
      </c>
      <c r="F53" s="8">
        <v>4.88</v>
      </c>
      <c r="G53" s="12">
        <v>1</v>
      </c>
      <c r="H53" s="8">
        <v>0.55000000000000004</v>
      </c>
      <c r="I53" s="12">
        <v>0</v>
      </c>
    </row>
    <row r="54" spans="2:9" ht="15" customHeight="1" x14ac:dyDescent="0.2">
      <c r="B54" t="s">
        <v>161</v>
      </c>
      <c r="C54" s="12">
        <v>12</v>
      </c>
      <c r="D54" s="8">
        <v>2.78</v>
      </c>
      <c r="E54" s="12">
        <v>8</v>
      </c>
      <c r="F54" s="8">
        <v>3.25</v>
      </c>
      <c r="G54" s="12">
        <v>4</v>
      </c>
      <c r="H54" s="8">
        <v>2.2000000000000002</v>
      </c>
      <c r="I54" s="12">
        <v>0</v>
      </c>
    </row>
    <row r="55" spans="2:9" ht="15" customHeight="1" x14ac:dyDescent="0.2">
      <c r="B55" t="s">
        <v>148</v>
      </c>
      <c r="C55" s="12">
        <v>10</v>
      </c>
      <c r="D55" s="8">
        <v>2.31</v>
      </c>
      <c r="E55" s="12">
        <v>1</v>
      </c>
      <c r="F55" s="8">
        <v>0.41</v>
      </c>
      <c r="G55" s="12">
        <v>9</v>
      </c>
      <c r="H55" s="8">
        <v>4.95</v>
      </c>
      <c r="I55" s="12">
        <v>0</v>
      </c>
    </row>
    <row r="56" spans="2:9" ht="15" customHeight="1" x14ac:dyDescent="0.2">
      <c r="B56" t="s">
        <v>151</v>
      </c>
      <c r="C56" s="12">
        <v>9</v>
      </c>
      <c r="D56" s="8">
        <v>2.08</v>
      </c>
      <c r="E56" s="12">
        <v>2</v>
      </c>
      <c r="F56" s="8">
        <v>0.81</v>
      </c>
      <c r="G56" s="12">
        <v>7</v>
      </c>
      <c r="H56" s="8">
        <v>3.85</v>
      </c>
      <c r="I56" s="12">
        <v>0</v>
      </c>
    </row>
    <row r="57" spans="2:9" ht="15" customHeight="1" x14ac:dyDescent="0.2">
      <c r="B57" t="s">
        <v>156</v>
      </c>
      <c r="C57" s="12">
        <v>9</v>
      </c>
      <c r="D57" s="8">
        <v>2.08</v>
      </c>
      <c r="E57" s="12">
        <v>3</v>
      </c>
      <c r="F57" s="8">
        <v>1.22</v>
      </c>
      <c r="G57" s="12">
        <v>6</v>
      </c>
      <c r="H57" s="8">
        <v>3.3</v>
      </c>
      <c r="I57" s="12">
        <v>0</v>
      </c>
    </row>
    <row r="58" spans="2:9" ht="15" customHeight="1" x14ac:dyDescent="0.2">
      <c r="B58" t="s">
        <v>202</v>
      </c>
      <c r="C58" s="12">
        <v>8</v>
      </c>
      <c r="D58" s="8">
        <v>1.85</v>
      </c>
      <c r="E58" s="12">
        <v>5</v>
      </c>
      <c r="F58" s="8">
        <v>2.0299999999999998</v>
      </c>
      <c r="G58" s="12">
        <v>3</v>
      </c>
      <c r="H58" s="8">
        <v>1.65</v>
      </c>
      <c r="I58" s="12">
        <v>0</v>
      </c>
    </row>
    <row r="59" spans="2:9" ht="15" customHeight="1" x14ac:dyDescent="0.2">
      <c r="B59" t="s">
        <v>162</v>
      </c>
      <c r="C59" s="12">
        <v>8</v>
      </c>
      <c r="D59" s="8">
        <v>1.85</v>
      </c>
      <c r="E59" s="12">
        <v>7</v>
      </c>
      <c r="F59" s="8">
        <v>2.85</v>
      </c>
      <c r="G59" s="12">
        <v>1</v>
      </c>
      <c r="H59" s="8">
        <v>0.55000000000000004</v>
      </c>
      <c r="I59" s="12">
        <v>0</v>
      </c>
    </row>
    <row r="60" spans="2:9" ht="15" customHeight="1" x14ac:dyDescent="0.2">
      <c r="B60" t="s">
        <v>149</v>
      </c>
      <c r="C60" s="12">
        <v>7</v>
      </c>
      <c r="D60" s="8">
        <v>1.62</v>
      </c>
      <c r="E60" s="12">
        <v>1</v>
      </c>
      <c r="F60" s="8">
        <v>0.41</v>
      </c>
      <c r="G60" s="12">
        <v>6</v>
      </c>
      <c r="H60" s="8">
        <v>3.3</v>
      </c>
      <c r="I60" s="12">
        <v>0</v>
      </c>
    </row>
    <row r="61" spans="2:9" ht="15" customHeight="1" x14ac:dyDescent="0.2">
      <c r="B61" t="s">
        <v>153</v>
      </c>
      <c r="C61" s="12">
        <v>7</v>
      </c>
      <c r="D61" s="8">
        <v>1.62</v>
      </c>
      <c r="E61" s="12">
        <v>4</v>
      </c>
      <c r="F61" s="8">
        <v>1.63</v>
      </c>
      <c r="G61" s="12">
        <v>3</v>
      </c>
      <c r="H61" s="8">
        <v>1.65</v>
      </c>
      <c r="I61" s="12">
        <v>0</v>
      </c>
    </row>
    <row r="62" spans="2:9" ht="15" customHeight="1" x14ac:dyDescent="0.2">
      <c r="B62" t="s">
        <v>194</v>
      </c>
      <c r="C62" s="12">
        <v>7</v>
      </c>
      <c r="D62" s="8">
        <v>1.62</v>
      </c>
      <c r="E62" s="12">
        <v>3</v>
      </c>
      <c r="F62" s="8">
        <v>1.22</v>
      </c>
      <c r="G62" s="12">
        <v>4</v>
      </c>
      <c r="H62" s="8">
        <v>2.2000000000000002</v>
      </c>
      <c r="I62" s="12">
        <v>0</v>
      </c>
    </row>
    <row r="63" spans="2:9" ht="15" customHeight="1" x14ac:dyDescent="0.2">
      <c r="B63" t="s">
        <v>195</v>
      </c>
      <c r="C63" s="12">
        <v>7</v>
      </c>
      <c r="D63" s="8">
        <v>1.62</v>
      </c>
      <c r="E63" s="12">
        <v>4</v>
      </c>
      <c r="F63" s="8">
        <v>1.63</v>
      </c>
      <c r="G63" s="12">
        <v>3</v>
      </c>
      <c r="H63" s="8">
        <v>1.65</v>
      </c>
      <c r="I63" s="12">
        <v>0</v>
      </c>
    </row>
    <row r="64" spans="2:9" ht="15" customHeight="1" x14ac:dyDescent="0.2">
      <c r="B64" t="s">
        <v>173</v>
      </c>
      <c r="C64" s="12">
        <v>7</v>
      </c>
      <c r="D64" s="8">
        <v>1.62</v>
      </c>
      <c r="E64" s="12">
        <v>4</v>
      </c>
      <c r="F64" s="8">
        <v>1.63</v>
      </c>
      <c r="G64" s="12">
        <v>3</v>
      </c>
      <c r="H64" s="8">
        <v>1.65</v>
      </c>
      <c r="I64" s="12">
        <v>0</v>
      </c>
    </row>
    <row r="65" spans="2:9" ht="15" customHeight="1" x14ac:dyDescent="0.2">
      <c r="B65" t="s">
        <v>197</v>
      </c>
      <c r="C65" s="12">
        <v>6</v>
      </c>
      <c r="D65" s="8">
        <v>1.39</v>
      </c>
      <c r="E65" s="12">
        <v>5</v>
      </c>
      <c r="F65" s="8">
        <v>2.0299999999999998</v>
      </c>
      <c r="G65" s="12">
        <v>1</v>
      </c>
      <c r="H65" s="8">
        <v>0.55000000000000004</v>
      </c>
      <c r="I65" s="12">
        <v>0</v>
      </c>
    </row>
    <row r="66" spans="2:9" ht="15" customHeight="1" x14ac:dyDescent="0.2">
      <c r="B66" t="s">
        <v>175</v>
      </c>
      <c r="C66" s="12">
        <v>6</v>
      </c>
      <c r="D66" s="8">
        <v>1.39</v>
      </c>
      <c r="E66" s="12">
        <v>3</v>
      </c>
      <c r="F66" s="8">
        <v>1.22</v>
      </c>
      <c r="G66" s="12">
        <v>3</v>
      </c>
      <c r="H66" s="8">
        <v>1.65</v>
      </c>
      <c r="I66" s="12">
        <v>0</v>
      </c>
    </row>
    <row r="67" spans="2:9" ht="15" customHeight="1" x14ac:dyDescent="0.2">
      <c r="B67" t="s">
        <v>166</v>
      </c>
      <c r="C67" s="12">
        <v>6</v>
      </c>
      <c r="D67" s="8">
        <v>1.39</v>
      </c>
      <c r="E67" s="12">
        <v>6</v>
      </c>
      <c r="F67" s="8">
        <v>2.44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461E-6448-464B-BA00-03F92786EA8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301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34</v>
      </c>
      <c r="D6" s="8">
        <v>16.5</v>
      </c>
      <c r="E6" s="12">
        <v>13</v>
      </c>
      <c r="F6" s="8">
        <v>19.7</v>
      </c>
      <c r="G6" s="12">
        <v>21</v>
      </c>
      <c r="H6" s="8">
        <v>15.22</v>
      </c>
      <c r="I6" s="12">
        <v>0</v>
      </c>
    </row>
    <row r="7" spans="2:9" ht="15" customHeight="1" x14ac:dyDescent="0.2">
      <c r="B7" t="s">
        <v>63</v>
      </c>
      <c r="C7" s="12">
        <v>29</v>
      </c>
      <c r="D7" s="8">
        <v>14.08</v>
      </c>
      <c r="E7" s="12">
        <v>6</v>
      </c>
      <c r="F7" s="8">
        <v>9.09</v>
      </c>
      <c r="G7" s="12">
        <v>23</v>
      </c>
      <c r="H7" s="8">
        <v>16.670000000000002</v>
      </c>
      <c r="I7" s="12">
        <v>0</v>
      </c>
    </row>
    <row r="8" spans="2:9" ht="15" customHeight="1" x14ac:dyDescent="0.2">
      <c r="B8" t="s">
        <v>64</v>
      </c>
      <c r="C8" s="12">
        <v>2</v>
      </c>
      <c r="D8" s="8">
        <v>0.97</v>
      </c>
      <c r="E8" s="12">
        <v>0</v>
      </c>
      <c r="F8" s="8">
        <v>0</v>
      </c>
      <c r="G8" s="12">
        <v>2</v>
      </c>
      <c r="H8" s="8">
        <v>1.45</v>
      </c>
      <c r="I8" s="12">
        <v>0</v>
      </c>
    </row>
    <row r="9" spans="2:9" ht="15" customHeight="1" x14ac:dyDescent="0.2">
      <c r="B9" t="s">
        <v>65</v>
      </c>
      <c r="C9" s="12">
        <v>1</v>
      </c>
      <c r="D9" s="8">
        <v>0.49</v>
      </c>
      <c r="E9" s="12">
        <v>0</v>
      </c>
      <c r="F9" s="8">
        <v>0</v>
      </c>
      <c r="G9" s="12">
        <v>1</v>
      </c>
      <c r="H9" s="8">
        <v>0.72</v>
      </c>
      <c r="I9" s="12">
        <v>0</v>
      </c>
    </row>
    <row r="10" spans="2:9" ht="15" customHeight="1" x14ac:dyDescent="0.2">
      <c r="B10" t="s">
        <v>66</v>
      </c>
      <c r="C10" s="12">
        <v>23</v>
      </c>
      <c r="D10" s="8">
        <v>11.17</v>
      </c>
      <c r="E10" s="12">
        <v>0</v>
      </c>
      <c r="F10" s="8">
        <v>0</v>
      </c>
      <c r="G10" s="12">
        <v>23</v>
      </c>
      <c r="H10" s="8">
        <v>16.670000000000002</v>
      </c>
      <c r="I10" s="12">
        <v>0</v>
      </c>
    </row>
    <row r="11" spans="2:9" ht="15" customHeight="1" x14ac:dyDescent="0.2">
      <c r="B11" t="s">
        <v>67</v>
      </c>
      <c r="C11" s="12">
        <v>42</v>
      </c>
      <c r="D11" s="8">
        <v>20.39</v>
      </c>
      <c r="E11" s="12">
        <v>10</v>
      </c>
      <c r="F11" s="8">
        <v>15.15</v>
      </c>
      <c r="G11" s="12">
        <v>32</v>
      </c>
      <c r="H11" s="8">
        <v>23.19</v>
      </c>
      <c r="I11" s="12">
        <v>0</v>
      </c>
    </row>
    <row r="12" spans="2:9" ht="15" customHeight="1" x14ac:dyDescent="0.2">
      <c r="B12" t="s">
        <v>68</v>
      </c>
      <c r="C12" s="12">
        <v>1</v>
      </c>
      <c r="D12" s="8">
        <v>0.49</v>
      </c>
      <c r="E12" s="12">
        <v>0</v>
      </c>
      <c r="F12" s="8">
        <v>0</v>
      </c>
      <c r="G12" s="12">
        <v>1</v>
      </c>
      <c r="H12" s="8">
        <v>0.72</v>
      </c>
      <c r="I12" s="12">
        <v>0</v>
      </c>
    </row>
    <row r="13" spans="2:9" ht="15" customHeight="1" x14ac:dyDescent="0.2">
      <c r="B13" t="s">
        <v>69</v>
      </c>
      <c r="C13" s="12">
        <v>12</v>
      </c>
      <c r="D13" s="8">
        <v>5.83</v>
      </c>
      <c r="E13" s="12">
        <v>0</v>
      </c>
      <c r="F13" s="8">
        <v>0</v>
      </c>
      <c r="G13" s="12">
        <v>12</v>
      </c>
      <c r="H13" s="8">
        <v>8.6999999999999993</v>
      </c>
      <c r="I13" s="12">
        <v>0</v>
      </c>
    </row>
    <row r="14" spans="2:9" ht="15" customHeight="1" x14ac:dyDescent="0.2">
      <c r="B14" t="s">
        <v>70</v>
      </c>
      <c r="C14" s="12">
        <v>6</v>
      </c>
      <c r="D14" s="8">
        <v>2.91</v>
      </c>
      <c r="E14" s="12">
        <v>2</v>
      </c>
      <c r="F14" s="8">
        <v>3.03</v>
      </c>
      <c r="G14" s="12">
        <v>4</v>
      </c>
      <c r="H14" s="8">
        <v>2.9</v>
      </c>
      <c r="I14" s="12">
        <v>0</v>
      </c>
    </row>
    <row r="15" spans="2:9" ht="15" customHeight="1" x14ac:dyDescent="0.2">
      <c r="B15" t="s">
        <v>71</v>
      </c>
      <c r="C15" s="12">
        <v>15</v>
      </c>
      <c r="D15" s="8">
        <v>7.28</v>
      </c>
      <c r="E15" s="12">
        <v>10</v>
      </c>
      <c r="F15" s="8">
        <v>15.15</v>
      </c>
      <c r="G15" s="12">
        <v>4</v>
      </c>
      <c r="H15" s="8">
        <v>2.9</v>
      </c>
      <c r="I15" s="12">
        <v>0</v>
      </c>
    </row>
    <row r="16" spans="2:9" ht="15" customHeight="1" x14ac:dyDescent="0.2">
      <c r="B16" t="s">
        <v>72</v>
      </c>
      <c r="C16" s="12">
        <v>17</v>
      </c>
      <c r="D16" s="8">
        <v>8.25</v>
      </c>
      <c r="E16" s="12">
        <v>13</v>
      </c>
      <c r="F16" s="8">
        <v>19.7</v>
      </c>
      <c r="G16" s="12">
        <v>4</v>
      </c>
      <c r="H16" s="8">
        <v>2.9</v>
      </c>
      <c r="I16" s="12">
        <v>0</v>
      </c>
    </row>
    <row r="17" spans="2:9" ht="15" customHeight="1" x14ac:dyDescent="0.2">
      <c r="B17" t="s">
        <v>73</v>
      </c>
      <c r="C17" s="12">
        <v>4</v>
      </c>
      <c r="D17" s="8">
        <v>1.94</v>
      </c>
      <c r="E17" s="12">
        <v>3</v>
      </c>
      <c r="F17" s="8">
        <v>4.55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74</v>
      </c>
      <c r="C18" s="12">
        <v>4</v>
      </c>
      <c r="D18" s="8">
        <v>1.94</v>
      </c>
      <c r="E18" s="12">
        <v>3</v>
      </c>
      <c r="F18" s="8">
        <v>4.55</v>
      </c>
      <c r="G18" s="12">
        <v>1</v>
      </c>
      <c r="H18" s="8">
        <v>0.72</v>
      </c>
      <c r="I18" s="12">
        <v>0</v>
      </c>
    </row>
    <row r="19" spans="2:9" ht="15" customHeight="1" x14ac:dyDescent="0.2">
      <c r="B19" t="s">
        <v>75</v>
      </c>
      <c r="C19" s="12">
        <v>16</v>
      </c>
      <c r="D19" s="8">
        <v>7.77</v>
      </c>
      <c r="E19" s="12">
        <v>6</v>
      </c>
      <c r="F19" s="8">
        <v>9.09</v>
      </c>
      <c r="G19" s="12">
        <v>10</v>
      </c>
      <c r="H19" s="8">
        <v>7.25</v>
      </c>
      <c r="I19" s="12">
        <v>0</v>
      </c>
    </row>
    <row r="20" spans="2:9" ht="15" customHeight="1" x14ac:dyDescent="0.2">
      <c r="B20" s="9" t="s">
        <v>248</v>
      </c>
      <c r="C20" s="12">
        <f>SUM(LTBL_12409[総数／事業所数])</f>
        <v>206</v>
      </c>
      <c r="E20" s="12">
        <f>SUBTOTAL(109,LTBL_12409[個人／事業所数])</f>
        <v>66</v>
      </c>
      <c r="G20" s="12">
        <f>SUBTOTAL(109,LTBL_12409[法人／事業所数])</f>
        <v>138</v>
      </c>
      <c r="I20" s="12">
        <f>SUBTOTAL(109,LTBL_12409[法人以外の団体／事業所数])</f>
        <v>0</v>
      </c>
    </row>
    <row r="21" spans="2:9" ht="15" customHeight="1" x14ac:dyDescent="0.2">
      <c r="E21" s="11">
        <f>LTBL_12409[[#Totals],[個人／事業所数]]/LTBL_12409[[#Totals],[総数／事業所数]]</f>
        <v>0.32038834951456313</v>
      </c>
      <c r="G21" s="11">
        <f>LTBL_12409[[#Totals],[法人／事業所数]]/LTBL_12409[[#Totals],[総数／事業所数]]</f>
        <v>0.66990291262135926</v>
      </c>
      <c r="I21" s="11">
        <f>LTBL_12409[[#Totals],[法人以外の団体／事業所数]]/LTBL_12409[[#Totals],[総数／事業所数]]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84</v>
      </c>
      <c r="C24" s="12">
        <v>21</v>
      </c>
      <c r="D24" s="8">
        <v>10.19</v>
      </c>
      <c r="E24" s="12">
        <v>8</v>
      </c>
      <c r="F24" s="8">
        <v>12.12</v>
      </c>
      <c r="G24" s="12">
        <v>13</v>
      </c>
      <c r="H24" s="8">
        <v>9.42</v>
      </c>
      <c r="I24" s="12">
        <v>0</v>
      </c>
    </row>
    <row r="25" spans="2:9" ht="15" customHeight="1" x14ac:dyDescent="0.2">
      <c r="B25" t="s">
        <v>92</v>
      </c>
      <c r="C25" s="12">
        <v>14</v>
      </c>
      <c r="D25" s="8">
        <v>6.8</v>
      </c>
      <c r="E25" s="12">
        <v>3</v>
      </c>
      <c r="F25" s="8">
        <v>4.55</v>
      </c>
      <c r="G25" s="12">
        <v>11</v>
      </c>
      <c r="H25" s="8">
        <v>7.97</v>
      </c>
      <c r="I25" s="12">
        <v>0</v>
      </c>
    </row>
    <row r="26" spans="2:9" ht="15" customHeight="1" x14ac:dyDescent="0.2">
      <c r="B26" t="s">
        <v>97</v>
      </c>
      <c r="C26" s="12">
        <v>14</v>
      </c>
      <c r="D26" s="8">
        <v>6.8</v>
      </c>
      <c r="E26" s="12">
        <v>10</v>
      </c>
      <c r="F26" s="8">
        <v>15.15</v>
      </c>
      <c r="G26" s="12">
        <v>4</v>
      </c>
      <c r="H26" s="8">
        <v>2.9</v>
      </c>
      <c r="I26" s="12">
        <v>0</v>
      </c>
    </row>
    <row r="27" spans="2:9" ht="15" customHeight="1" x14ac:dyDescent="0.2">
      <c r="B27" t="s">
        <v>98</v>
      </c>
      <c r="C27" s="12">
        <v>14</v>
      </c>
      <c r="D27" s="8">
        <v>6.8</v>
      </c>
      <c r="E27" s="12">
        <v>13</v>
      </c>
      <c r="F27" s="8">
        <v>19.7</v>
      </c>
      <c r="G27" s="12">
        <v>1</v>
      </c>
      <c r="H27" s="8">
        <v>0.72</v>
      </c>
      <c r="I27" s="12">
        <v>0</v>
      </c>
    </row>
    <row r="28" spans="2:9" ht="15" customHeight="1" x14ac:dyDescent="0.2">
      <c r="B28" t="s">
        <v>115</v>
      </c>
      <c r="C28" s="12">
        <v>10</v>
      </c>
      <c r="D28" s="8">
        <v>4.8499999999999996</v>
      </c>
      <c r="E28" s="12">
        <v>0</v>
      </c>
      <c r="F28" s="8">
        <v>0</v>
      </c>
      <c r="G28" s="12">
        <v>10</v>
      </c>
      <c r="H28" s="8">
        <v>7.25</v>
      </c>
      <c r="I28" s="12">
        <v>0</v>
      </c>
    </row>
    <row r="29" spans="2:9" ht="15" customHeight="1" x14ac:dyDescent="0.2">
      <c r="B29" t="s">
        <v>103</v>
      </c>
      <c r="C29" s="12">
        <v>10</v>
      </c>
      <c r="D29" s="8">
        <v>4.8499999999999996</v>
      </c>
      <c r="E29" s="12">
        <v>5</v>
      </c>
      <c r="F29" s="8">
        <v>7.58</v>
      </c>
      <c r="G29" s="12">
        <v>5</v>
      </c>
      <c r="H29" s="8">
        <v>3.62</v>
      </c>
      <c r="I29" s="12">
        <v>0</v>
      </c>
    </row>
    <row r="30" spans="2:9" ht="15" customHeight="1" x14ac:dyDescent="0.2">
      <c r="B30" t="s">
        <v>85</v>
      </c>
      <c r="C30" s="12">
        <v>9</v>
      </c>
      <c r="D30" s="8">
        <v>4.37</v>
      </c>
      <c r="E30" s="12">
        <v>3</v>
      </c>
      <c r="F30" s="8">
        <v>4.55</v>
      </c>
      <c r="G30" s="12">
        <v>6</v>
      </c>
      <c r="H30" s="8">
        <v>4.3499999999999996</v>
      </c>
      <c r="I30" s="12">
        <v>0</v>
      </c>
    </row>
    <row r="31" spans="2:9" ht="15" customHeight="1" x14ac:dyDescent="0.2">
      <c r="B31" t="s">
        <v>106</v>
      </c>
      <c r="C31" s="12">
        <v>9</v>
      </c>
      <c r="D31" s="8">
        <v>4.37</v>
      </c>
      <c r="E31" s="12">
        <v>1</v>
      </c>
      <c r="F31" s="8">
        <v>1.52</v>
      </c>
      <c r="G31" s="12">
        <v>8</v>
      </c>
      <c r="H31" s="8">
        <v>5.8</v>
      </c>
      <c r="I31" s="12">
        <v>0</v>
      </c>
    </row>
    <row r="32" spans="2:9" ht="15" customHeight="1" x14ac:dyDescent="0.2">
      <c r="B32" t="s">
        <v>90</v>
      </c>
      <c r="C32" s="12">
        <v>9</v>
      </c>
      <c r="D32" s="8">
        <v>4.37</v>
      </c>
      <c r="E32" s="12">
        <v>6</v>
      </c>
      <c r="F32" s="8">
        <v>9.09</v>
      </c>
      <c r="G32" s="12">
        <v>3</v>
      </c>
      <c r="H32" s="8">
        <v>2.17</v>
      </c>
      <c r="I32" s="12">
        <v>0</v>
      </c>
    </row>
    <row r="33" spans="2:9" ht="15" customHeight="1" x14ac:dyDescent="0.2">
      <c r="B33" t="s">
        <v>121</v>
      </c>
      <c r="C33" s="12">
        <v>8</v>
      </c>
      <c r="D33" s="8">
        <v>3.88</v>
      </c>
      <c r="E33" s="12">
        <v>0</v>
      </c>
      <c r="F33" s="8">
        <v>0</v>
      </c>
      <c r="G33" s="12">
        <v>8</v>
      </c>
      <c r="H33" s="8">
        <v>5.8</v>
      </c>
      <c r="I33" s="12">
        <v>0</v>
      </c>
    </row>
    <row r="34" spans="2:9" ht="15" customHeight="1" x14ac:dyDescent="0.2">
      <c r="B34" t="s">
        <v>94</v>
      </c>
      <c r="C34" s="12">
        <v>8</v>
      </c>
      <c r="D34" s="8">
        <v>3.88</v>
      </c>
      <c r="E34" s="12">
        <v>0</v>
      </c>
      <c r="F34" s="8">
        <v>0</v>
      </c>
      <c r="G34" s="12">
        <v>8</v>
      </c>
      <c r="H34" s="8">
        <v>5.8</v>
      </c>
      <c r="I34" s="12">
        <v>0</v>
      </c>
    </row>
    <row r="35" spans="2:9" ht="15" customHeight="1" x14ac:dyDescent="0.2">
      <c r="B35" t="s">
        <v>87</v>
      </c>
      <c r="C35" s="12">
        <v>6</v>
      </c>
      <c r="D35" s="8">
        <v>2.91</v>
      </c>
      <c r="E35" s="12">
        <v>0</v>
      </c>
      <c r="F35" s="8">
        <v>0</v>
      </c>
      <c r="G35" s="12">
        <v>6</v>
      </c>
      <c r="H35" s="8">
        <v>4.3499999999999996</v>
      </c>
      <c r="I35" s="12">
        <v>0</v>
      </c>
    </row>
    <row r="36" spans="2:9" ht="15" customHeight="1" x14ac:dyDescent="0.2">
      <c r="B36" t="s">
        <v>86</v>
      </c>
      <c r="C36" s="12">
        <v>4</v>
      </c>
      <c r="D36" s="8">
        <v>1.94</v>
      </c>
      <c r="E36" s="12">
        <v>2</v>
      </c>
      <c r="F36" s="8">
        <v>3.03</v>
      </c>
      <c r="G36" s="12">
        <v>2</v>
      </c>
      <c r="H36" s="8">
        <v>1.45</v>
      </c>
      <c r="I36" s="12">
        <v>0</v>
      </c>
    </row>
    <row r="37" spans="2:9" ht="15" customHeight="1" x14ac:dyDescent="0.2">
      <c r="B37" t="s">
        <v>123</v>
      </c>
      <c r="C37" s="12">
        <v>4</v>
      </c>
      <c r="D37" s="8">
        <v>1.94</v>
      </c>
      <c r="E37" s="12">
        <v>2</v>
      </c>
      <c r="F37" s="8">
        <v>3.03</v>
      </c>
      <c r="G37" s="12">
        <v>2</v>
      </c>
      <c r="H37" s="8">
        <v>1.45</v>
      </c>
      <c r="I37" s="12">
        <v>0</v>
      </c>
    </row>
    <row r="38" spans="2:9" ht="15" customHeight="1" x14ac:dyDescent="0.2">
      <c r="B38" t="s">
        <v>114</v>
      </c>
      <c r="C38" s="12">
        <v>4</v>
      </c>
      <c r="D38" s="8">
        <v>1.94</v>
      </c>
      <c r="E38" s="12">
        <v>0</v>
      </c>
      <c r="F38" s="8">
        <v>0</v>
      </c>
      <c r="G38" s="12">
        <v>4</v>
      </c>
      <c r="H38" s="8">
        <v>2.9</v>
      </c>
      <c r="I38" s="12">
        <v>0</v>
      </c>
    </row>
    <row r="39" spans="2:9" ht="15" customHeight="1" x14ac:dyDescent="0.2">
      <c r="B39" t="s">
        <v>100</v>
      </c>
      <c r="C39" s="12">
        <v>4</v>
      </c>
      <c r="D39" s="8">
        <v>1.94</v>
      </c>
      <c r="E39" s="12">
        <v>3</v>
      </c>
      <c r="F39" s="8">
        <v>4.55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101</v>
      </c>
      <c r="C40" s="12">
        <v>4</v>
      </c>
      <c r="D40" s="8">
        <v>1.94</v>
      </c>
      <c r="E40" s="12">
        <v>3</v>
      </c>
      <c r="F40" s="8">
        <v>4.55</v>
      </c>
      <c r="G40" s="12">
        <v>1</v>
      </c>
      <c r="H40" s="8">
        <v>0.72</v>
      </c>
      <c r="I40" s="12">
        <v>0</v>
      </c>
    </row>
    <row r="41" spans="2:9" ht="15" customHeight="1" x14ac:dyDescent="0.2">
      <c r="B41" t="s">
        <v>105</v>
      </c>
      <c r="C41" s="12">
        <v>4</v>
      </c>
      <c r="D41" s="8">
        <v>1.94</v>
      </c>
      <c r="E41" s="12">
        <v>0</v>
      </c>
      <c r="F41" s="8">
        <v>0</v>
      </c>
      <c r="G41" s="12">
        <v>4</v>
      </c>
      <c r="H41" s="8">
        <v>2.9</v>
      </c>
      <c r="I41" s="12">
        <v>0</v>
      </c>
    </row>
    <row r="42" spans="2:9" ht="15" customHeight="1" x14ac:dyDescent="0.2">
      <c r="B42" t="s">
        <v>126</v>
      </c>
      <c r="C42" s="12">
        <v>3</v>
      </c>
      <c r="D42" s="8">
        <v>1.46</v>
      </c>
      <c r="E42" s="12">
        <v>1</v>
      </c>
      <c r="F42" s="8">
        <v>1.52</v>
      </c>
      <c r="G42" s="12">
        <v>2</v>
      </c>
      <c r="H42" s="8">
        <v>1.45</v>
      </c>
      <c r="I42" s="12">
        <v>0</v>
      </c>
    </row>
    <row r="43" spans="2:9" ht="15" customHeight="1" x14ac:dyDescent="0.2">
      <c r="B43" t="s">
        <v>109</v>
      </c>
      <c r="C43" s="12">
        <v>3</v>
      </c>
      <c r="D43" s="8">
        <v>1.46</v>
      </c>
      <c r="E43" s="12">
        <v>0</v>
      </c>
      <c r="F43" s="8">
        <v>0</v>
      </c>
      <c r="G43" s="12">
        <v>3</v>
      </c>
      <c r="H43" s="8">
        <v>2.17</v>
      </c>
      <c r="I43" s="12">
        <v>0</v>
      </c>
    </row>
    <row r="44" spans="2:9" ht="15" customHeight="1" x14ac:dyDescent="0.2">
      <c r="B44" t="s">
        <v>120</v>
      </c>
      <c r="C44" s="12">
        <v>3</v>
      </c>
      <c r="D44" s="8">
        <v>1.46</v>
      </c>
      <c r="E44" s="12">
        <v>0</v>
      </c>
      <c r="F44" s="8">
        <v>0</v>
      </c>
      <c r="G44" s="12">
        <v>3</v>
      </c>
      <c r="H44" s="8">
        <v>2.17</v>
      </c>
      <c r="I44" s="12">
        <v>0</v>
      </c>
    </row>
    <row r="45" spans="2:9" ht="15" customHeight="1" x14ac:dyDescent="0.2">
      <c r="B45" t="s">
        <v>96</v>
      </c>
      <c r="C45" s="12">
        <v>3</v>
      </c>
      <c r="D45" s="8">
        <v>1.46</v>
      </c>
      <c r="E45" s="12">
        <v>1</v>
      </c>
      <c r="F45" s="8">
        <v>1.52</v>
      </c>
      <c r="G45" s="12">
        <v>2</v>
      </c>
      <c r="H45" s="8">
        <v>1.45</v>
      </c>
      <c r="I45" s="12">
        <v>0</v>
      </c>
    </row>
    <row r="48" spans="2:9" ht="33" customHeight="1" x14ac:dyDescent="0.2">
      <c r="B48" t="s">
        <v>250</v>
      </c>
      <c r="C48" s="10" t="s">
        <v>77</v>
      </c>
      <c r="D48" s="10" t="s">
        <v>78</v>
      </c>
      <c r="E48" s="10" t="s">
        <v>79</v>
      </c>
      <c r="F48" s="10" t="s">
        <v>80</v>
      </c>
      <c r="G48" s="10" t="s">
        <v>81</v>
      </c>
      <c r="H48" s="10" t="s">
        <v>82</v>
      </c>
      <c r="I48" s="10" t="s">
        <v>83</v>
      </c>
    </row>
    <row r="49" spans="2:9" ht="15" customHeight="1" x14ac:dyDescent="0.2">
      <c r="B49" t="s">
        <v>167</v>
      </c>
      <c r="C49" s="12">
        <v>10</v>
      </c>
      <c r="D49" s="8">
        <v>4.8499999999999996</v>
      </c>
      <c r="E49" s="12">
        <v>5</v>
      </c>
      <c r="F49" s="8">
        <v>7.58</v>
      </c>
      <c r="G49" s="12">
        <v>5</v>
      </c>
      <c r="H49" s="8">
        <v>3.62</v>
      </c>
      <c r="I49" s="12">
        <v>0</v>
      </c>
    </row>
    <row r="50" spans="2:9" ht="15" customHeight="1" x14ac:dyDescent="0.2">
      <c r="B50" t="s">
        <v>150</v>
      </c>
      <c r="C50" s="12">
        <v>8</v>
      </c>
      <c r="D50" s="8">
        <v>3.88</v>
      </c>
      <c r="E50" s="12">
        <v>5</v>
      </c>
      <c r="F50" s="8">
        <v>7.58</v>
      </c>
      <c r="G50" s="12">
        <v>3</v>
      </c>
      <c r="H50" s="8">
        <v>2.17</v>
      </c>
      <c r="I50" s="12">
        <v>0</v>
      </c>
    </row>
    <row r="51" spans="2:9" ht="15" customHeight="1" x14ac:dyDescent="0.2">
      <c r="B51" t="s">
        <v>225</v>
      </c>
      <c r="C51" s="12">
        <v>8</v>
      </c>
      <c r="D51" s="8">
        <v>3.88</v>
      </c>
      <c r="E51" s="12">
        <v>0</v>
      </c>
      <c r="F51" s="8">
        <v>0</v>
      </c>
      <c r="G51" s="12">
        <v>8</v>
      </c>
      <c r="H51" s="8">
        <v>5.8</v>
      </c>
      <c r="I51" s="12">
        <v>0</v>
      </c>
    </row>
    <row r="52" spans="2:9" ht="15" customHeight="1" x14ac:dyDescent="0.2">
      <c r="B52" t="s">
        <v>192</v>
      </c>
      <c r="C52" s="12">
        <v>7</v>
      </c>
      <c r="D52" s="8">
        <v>3.4</v>
      </c>
      <c r="E52" s="12">
        <v>6</v>
      </c>
      <c r="F52" s="8">
        <v>9.09</v>
      </c>
      <c r="G52" s="12">
        <v>1</v>
      </c>
      <c r="H52" s="8">
        <v>0.72</v>
      </c>
      <c r="I52" s="12">
        <v>0</v>
      </c>
    </row>
    <row r="53" spans="2:9" ht="15" customHeight="1" x14ac:dyDescent="0.2">
      <c r="B53" t="s">
        <v>148</v>
      </c>
      <c r="C53" s="12">
        <v>6</v>
      </c>
      <c r="D53" s="8">
        <v>2.91</v>
      </c>
      <c r="E53" s="12">
        <v>0</v>
      </c>
      <c r="F53" s="8">
        <v>0</v>
      </c>
      <c r="G53" s="12">
        <v>6</v>
      </c>
      <c r="H53" s="8">
        <v>4.3499999999999996</v>
      </c>
      <c r="I53" s="12">
        <v>0</v>
      </c>
    </row>
    <row r="54" spans="2:9" ht="15" customHeight="1" x14ac:dyDescent="0.2">
      <c r="B54" t="s">
        <v>163</v>
      </c>
      <c r="C54" s="12">
        <v>6</v>
      </c>
      <c r="D54" s="8">
        <v>2.91</v>
      </c>
      <c r="E54" s="12">
        <v>5</v>
      </c>
      <c r="F54" s="8">
        <v>7.58</v>
      </c>
      <c r="G54" s="12">
        <v>1</v>
      </c>
      <c r="H54" s="8">
        <v>0.72</v>
      </c>
      <c r="I54" s="12">
        <v>0</v>
      </c>
    </row>
    <row r="55" spans="2:9" ht="15" customHeight="1" x14ac:dyDescent="0.2">
      <c r="B55" t="s">
        <v>164</v>
      </c>
      <c r="C55" s="12">
        <v>6</v>
      </c>
      <c r="D55" s="8">
        <v>2.91</v>
      </c>
      <c r="E55" s="12">
        <v>6</v>
      </c>
      <c r="F55" s="8">
        <v>9.09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149</v>
      </c>
      <c r="C56" s="12">
        <v>5</v>
      </c>
      <c r="D56" s="8">
        <v>2.4300000000000002</v>
      </c>
      <c r="E56" s="12">
        <v>1</v>
      </c>
      <c r="F56" s="8">
        <v>1.52</v>
      </c>
      <c r="G56" s="12">
        <v>4</v>
      </c>
      <c r="H56" s="8">
        <v>2.9</v>
      </c>
      <c r="I56" s="12">
        <v>0</v>
      </c>
    </row>
    <row r="57" spans="2:9" ht="15" customHeight="1" x14ac:dyDescent="0.2">
      <c r="B57" t="s">
        <v>226</v>
      </c>
      <c r="C57" s="12">
        <v>5</v>
      </c>
      <c r="D57" s="8">
        <v>2.4300000000000002</v>
      </c>
      <c r="E57" s="12">
        <v>0</v>
      </c>
      <c r="F57" s="8">
        <v>0</v>
      </c>
      <c r="G57" s="12">
        <v>5</v>
      </c>
      <c r="H57" s="8">
        <v>3.62</v>
      </c>
      <c r="I57" s="12">
        <v>0</v>
      </c>
    </row>
    <row r="58" spans="2:9" ht="15" customHeight="1" x14ac:dyDescent="0.2">
      <c r="B58" t="s">
        <v>161</v>
      </c>
      <c r="C58" s="12">
        <v>5</v>
      </c>
      <c r="D58" s="8">
        <v>2.4300000000000002</v>
      </c>
      <c r="E58" s="12">
        <v>2</v>
      </c>
      <c r="F58" s="8">
        <v>3.03</v>
      </c>
      <c r="G58" s="12">
        <v>3</v>
      </c>
      <c r="H58" s="8">
        <v>2.17</v>
      </c>
      <c r="I58" s="12">
        <v>0</v>
      </c>
    </row>
    <row r="59" spans="2:9" ht="15" customHeight="1" x14ac:dyDescent="0.2">
      <c r="B59" t="s">
        <v>203</v>
      </c>
      <c r="C59" s="12">
        <v>4</v>
      </c>
      <c r="D59" s="8">
        <v>1.94</v>
      </c>
      <c r="E59" s="12">
        <v>0</v>
      </c>
      <c r="F59" s="8">
        <v>0</v>
      </c>
      <c r="G59" s="12">
        <v>4</v>
      </c>
      <c r="H59" s="8">
        <v>2.9</v>
      </c>
      <c r="I59" s="12">
        <v>0</v>
      </c>
    </row>
    <row r="60" spans="2:9" ht="15" customHeight="1" x14ac:dyDescent="0.2">
      <c r="B60" t="s">
        <v>190</v>
      </c>
      <c r="C60" s="12">
        <v>4</v>
      </c>
      <c r="D60" s="8">
        <v>1.94</v>
      </c>
      <c r="E60" s="12">
        <v>3</v>
      </c>
      <c r="F60" s="8">
        <v>4.55</v>
      </c>
      <c r="G60" s="12">
        <v>1</v>
      </c>
      <c r="H60" s="8">
        <v>0.72</v>
      </c>
      <c r="I60" s="12">
        <v>0</v>
      </c>
    </row>
    <row r="61" spans="2:9" ht="15" customHeight="1" x14ac:dyDescent="0.2">
      <c r="B61" t="s">
        <v>224</v>
      </c>
      <c r="C61" s="12">
        <v>3</v>
      </c>
      <c r="D61" s="8">
        <v>1.46</v>
      </c>
      <c r="E61" s="12">
        <v>0</v>
      </c>
      <c r="F61" s="8">
        <v>0</v>
      </c>
      <c r="G61" s="12">
        <v>3</v>
      </c>
      <c r="H61" s="8">
        <v>2.17</v>
      </c>
      <c r="I61" s="12">
        <v>0</v>
      </c>
    </row>
    <row r="62" spans="2:9" ht="15" customHeight="1" x14ac:dyDescent="0.2">
      <c r="B62" t="s">
        <v>154</v>
      </c>
      <c r="C62" s="12">
        <v>3</v>
      </c>
      <c r="D62" s="8">
        <v>1.46</v>
      </c>
      <c r="E62" s="12">
        <v>2</v>
      </c>
      <c r="F62" s="8">
        <v>3.03</v>
      </c>
      <c r="G62" s="12">
        <v>1</v>
      </c>
      <c r="H62" s="8">
        <v>0.72</v>
      </c>
      <c r="I62" s="12">
        <v>0</v>
      </c>
    </row>
    <row r="63" spans="2:9" ht="15" customHeight="1" x14ac:dyDescent="0.2">
      <c r="B63" t="s">
        <v>214</v>
      </c>
      <c r="C63" s="12">
        <v>3</v>
      </c>
      <c r="D63" s="8">
        <v>1.46</v>
      </c>
      <c r="E63" s="12">
        <v>0</v>
      </c>
      <c r="F63" s="8">
        <v>0</v>
      </c>
      <c r="G63" s="12">
        <v>3</v>
      </c>
      <c r="H63" s="8">
        <v>2.17</v>
      </c>
      <c r="I63" s="12">
        <v>0</v>
      </c>
    </row>
    <row r="64" spans="2:9" ht="15" customHeight="1" x14ac:dyDescent="0.2">
      <c r="B64" t="s">
        <v>191</v>
      </c>
      <c r="C64" s="12">
        <v>3</v>
      </c>
      <c r="D64" s="8">
        <v>1.46</v>
      </c>
      <c r="E64" s="12">
        <v>0</v>
      </c>
      <c r="F64" s="8">
        <v>0</v>
      </c>
      <c r="G64" s="12">
        <v>3</v>
      </c>
      <c r="H64" s="8">
        <v>2.17</v>
      </c>
      <c r="I64" s="12">
        <v>0</v>
      </c>
    </row>
    <row r="65" spans="2:9" ht="15" customHeight="1" x14ac:dyDescent="0.2">
      <c r="B65" t="s">
        <v>156</v>
      </c>
      <c r="C65" s="12">
        <v>3</v>
      </c>
      <c r="D65" s="8">
        <v>1.46</v>
      </c>
      <c r="E65" s="12">
        <v>1</v>
      </c>
      <c r="F65" s="8">
        <v>1.52</v>
      </c>
      <c r="G65" s="12">
        <v>2</v>
      </c>
      <c r="H65" s="8">
        <v>1.45</v>
      </c>
      <c r="I65" s="12">
        <v>0</v>
      </c>
    </row>
    <row r="66" spans="2:9" ht="15" customHeight="1" x14ac:dyDescent="0.2">
      <c r="B66" t="s">
        <v>157</v>
      </c>
      <c r="C66" s="12">
        <v>3</v>
      </c>
      <c r="D66" s="8">
        <v>1.46</v>
      </c>
      <c r="E66" s="12">
        <v>0</v>
      </c>
      <c r="F66" s="8">
        <v>0</v>
      </c>
      <c r="G66" s="12">
        <v>3</v>
      </c>
      <c r="H66" s="8">
        <v>2.17</v>
      </c>
      <c r="I66" s="12">
        <v>0</v>
      </c>
    </row>
    <row r="67" spans="2:9" ht="15" customHeight="1" x14ac:dyDescent="0.2">
      <c r="B67" t="s">
        <v>159</v>
      </c>
      <c r="C67" s="12">
        <v>3</v>
      </c>
      <c r="D67" s="8">
        <v>1.46</v>
      </c>
      <c r="E67" s="12">
        <v>0</v>
      </c>
      <c r="F67" s="8">
        <v>0</v>
      </c>
      <c r="G67" s="12">
        <v>3</v>
      </c>
      <c r="H67" s="8">
        <v>2.17</v>
      </c>
      <c r="I67" s="12">
        <v>0</v>
      </c>
    </row>
    <row r="68" spans="2:9" ht="15" customHeight="1" x14ac:dyDescent="0.2">
      <c r="B68" t="s">
        <v>160</v>
      </c>
      <c r="C68" s="12">
        <v>3</v>
      </c>
      <c r="D68" s="8">
        <v>1.46</v>
      </c>
      <c r="E68" s="12">
        <v>1</v>
      </c>
      <c r="F68" s="8">
        <v>1.52</v>
      </c>
      <c r="G68" s="12">
        <v>2</v>
      </c>
      <c r="H68" s="8">
        <v>1.45</v>
      </c>
      <c r="I68" s="12">
        <v>0</v>
      </c>
    </row>
    <row r="70" spans="2:9" ht="15" customHeight="1" x14ac:dyDescent="0.2">
      <c r="B70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353B1-2A07-48BA-BD1D-774EE072B2E1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302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1</v>
      </c>
      <c r="D5" s="8">
        <v>0.19</v>
      </c>
      <c r="E5" s="12">
        <v>0</v>
      </c>
      <c r="F5" s="8">
        <v>0</v>
      </c>
      <c r="G5" s="12">
        <v>1</v>
      </c>
      <c r="H5" s="8">
        <v>0.46</v>
      </c>
      <c r="I5" s="12">
        <v>0</v>
      </c>
    </row>
    <row r="6" spans="2:9" ht="15" customHeight="1" x14ac:dyDescent="0.2">
      <c r="B6" t="s">
        <v>62</v>
      </c>
      <c r="C6" s="12">
        <v>131</v>
      </c>
      <c r="D6" s="8">
        <v>24.76</v>
      </c>
      <c r="E6" s="12">
        <v>64</v>
      </c>
      <c r="F6" s="8">
        <v>20.92</v>
      </c>
      <c r="G6" s="12">
        <v>67</v>
      </c>
      <c r="H6" s="8">
        <v>30.59</v>
      </c>
      <c r="I6" s="12">
        <v>0</v>
      </c>
    </row>
    <row r="7" spans="2:9" ht="15" customHeight="1" x14ac:dyDescent="0.2">
      <c r="B7" t="s">
        <v>63</v>
      </c>
      <c r="C7" s="12">
        <v>42</v>
      </c>
      <c r="D7" s="8">
        <v>7.94</v>
      </c>
      <c r="E7" s="12">
        <v>19</v>
      </c>
      <c r="F7" s="8">
        <v>6.21</v>
      </c>
      <c r="G7" s="12">
        <v>23</v>
      </c>
      <c r="H7" s="8">
        <v>10.5</v>
      </c>
      <c r="I7" s="12">
        <v>0</v>
      </c>
    </row>
    <row r="8" spans="2:9" ht="15" customHeight="1" x14ac:dyDescent="0.2">
      <c r="B8" t="s">
        <v>64</v>
      </c>
      <c r="C8" s="12">
        <v>2</v>
      </c>
      <c r="D8" s="8">
        <v>0.38</v>
      </c>
      <c r="E8" s="12">
        <v>0</v>
      </c>
      <c r="F8" s="8">
        <v>0</v>
      </c>
      <c r="G8" s="12">
        <v>2</v>
      </c>
      <c r="H8" s="8">
        <v>0.91</v>
      </c>
      <c r="I8" s="12">
        <v>0</v>
      </c>
    </row>
    <row r="9" spans="2:9" ht="15" customHeight="1" x14ac:dyDescent="0.2">
      <c r="B9" t="s">
        <v>65</v>
      </c>
      <c r="C9" s="12">
        <v>1</v>
      </c>
      <c r="D9" s="8">
        <v>0.19</v>
      </c>
      <c r="E9" s="12">
        <v>0</v>
      </c>
      <c r="F9" s="8">
        <v>0</v>
      </c>
      <c r="G9" s="12">
        <v>1</v>
      </c>
      <c r="H9" s="8">
        <v>0.46</v>
      </c>
      <c r="I9" s="12">
        <v>0</v>
      </c>
    </row>
    <row r="10" spans="2:9" ht="15" customHeight="1" x14ac:dyDescent="0.2">
      <c r="B10" t="s">
        <v>66</v>
      </c>
      <c r="C10" s="12">
        <v>11</v>
      </c>
      <c r="D10" s="8">
        <v>2.08</v>
      </c>
      <c r="E10" s="12">
        <v>2</v>
      </c>
      <c r="F10" s="8">
        <v>0.65</v>
      </c>
      <c r="G10" s="12">
        <v>9</v>
      </c>
      <c r="H10" s="8">
        <v>4.1100000000000003</v>
      </c>
      <c r="I10" s="12">
        <v>0</v>
      </c>
    </row>
    <row r="11" spans="2:9" ht="15" customHeight="1" x14ac:dyDescent="0.2">
      <c r="B11" t="s">
        <v>67</v>
      </c>
      <c r="C11" s="12">
        <v>119</v>
      </c>
      <c r="D11" s="8">
        <v>22.5</v>
      </c>
      <c r="E11" s="12">
        <v>53</v>
      </c>
      <c r="F11" s="8">
        <v>17.32</v>
      </c>
      <c r="G11" s="12">
        <v>66</v>
      </c>
      <c r="H11" s="8">
        <v>30.14</v>
      </c>
      <c r="I11" s="12">
        <v>0</v>
      </c>
    </row>
    <row r="12" spans="2:9" ht="15" customHeight="1" x14ac:dyDescent="0.2">
      <c r="B12" t="s">
        <v>68</v>
      </c>
      <c r="C12" s="12">
        <v>7</v>
      </c>
      <c r="D12" s="8">
        <v>1.32</v>
      </c>
      <c r="E12" s="12">
        <v>3</v>
      </c>
      <c r="F12" s="8">
        <v>0.98</v>
      </c>
      <c r="G12" s="12">
        <v>4</v>
      </c>
      <c r="H12" s="8">
        <v>1.83</v>
      </c>
      <c r="I12" s="12">
        <v>0</v>
      </c>
    </row>
    <row r="13" spans="2:9" ht="15" customHeight="1" x14ac:dyDescent="0.2">
      <c r="B13" t="s">
        <v>69</v>
      </c>
      <c r="C13" s="12">
        <v>31</v>
      </c>
      <c r="D13" s="8">
        <v>5.86</v>
      </c>
      <c r="E13" s="12">
        <v>14</v>
      </c>
      <c r="F13" s="8">
        <v>4.58</v>
      </c>
      <c r="G13" s="12">
        <v>17</v>
      </c>
      <c r="H13" s="8">
        <v>7.76</v>
      </c>
      <c r="I13" s="12">
        <v>0</v>
      </c>
    </row>
    <row r="14" spans="2:9" ht="15" customHeight="1" x14ac:dyDescent="0.2">
      <c r="B14" t="s">
        <v>70</v>
      </c>
      <c r="C14" s="12">
        <v>14</v>
      </c>
      <c r="D14" s="8">
        <v>2.65</v>
      </c>
      <c r="E14" s="12">
        <v>12</v>
      </c>
      <c r="F14" s="8">
        <v>3.92</v>
      </c>
      <c r="G14" s="12">
        <v>2</v>
      </c>
      <c r="H14" s="8">
        <v>0.91</v>
      </c>
      <c r="I14" s="12">
        <v>0</v>
      </c>
    </row>
    <row r="15" spans="2:9" ht="15" customHeight="1" x14ac:dyDescent="0.2">
      <c r="B15" t="s">
        <v>71</v>
      </c>
      <c r="C15" s="12">
        <v>55</v>
      </c>
      <c r="D15" s="8">
        <v>10.4</v>
      </c>
      <c r="E15" s="12">
        <v>45</v>
      </c>
      <c r="F15" s="8">
        <v>14.71</v>
      </c>
      <c r="G15" s="12">
        <v>8</v>
      </c>
      <c r="H15" s="8">
        <v>3.65</v>
      </c>
      <c r="I15" s="12">
        <v>1</v>
      </c>
    </row>
    <row r="16" spans="2:9" ht="15" customHeight="1" x14ac:dyDescent="0.2">
      <c r="B16" t="s">
        <v>72</v>
      </c>
      <c r="C16" s="12">
        <v>69</v>
      </c>
      <c r="D16" s="8">
        <v>13.04</v>
      </c>
      <c r="E16" s="12">
        <v>63</v>
      </c>
      <c r="F16" s="8">
        <v>20.59</v>
      </c>
      <c r="G16" s="12">
        <v>6</v>
      </c>
      <c r="H16" s="8">
        <v>2.74</v>
      </c>
      <c r="I16" s="12">
        <v>0</v>
      </c>
    </row>
    <row r="17" spans="2:9" ht="15" customHeight="1" x14ac:dyDescent="0.2">
      <c r="B17" t="s">
        <v>73</v>
      </c>
      <c r="C17" s="12">
        <v>10</v>
      </c>
      <c r="D17" s="8">
        <v>1.89</v>
      </c>
      <c r="E17" s="12">
        <v>8</v>
      </c>
      <c r="F17" s="8">
        <v>2.61</v>
      </c>
      <c r="G17" s="12">
        <v>2</v>
      </c>
      <c r="H17" s="8">
        <v>0.91</v>
      </c>
      <c r="I17" s="12">
        <v>0</v>
      </c>
    </row>
    <row r="18" spans="2:9" ht="15" customHeight="1" x14ac:dyDescent="0.2">
      <c r="B18" t="s">
        <v>74</v>
      </c>
      <c r="C18" s="12">
        <v>13</v>
      </c>
      <c r="D18" s="8">
        <v>2.46</v>
      </c>
      <c r="E18" s="12">
        <v>10</v>
      </c>
      <c r="F18" s="8">
        <v>3.27</v>
      </c>
      <c r="G18" s="12">
        <v>2</v>
      </c>
      <c r="H18" s="8">
        <v>0.91</v>
      </c>
      <c r="I18" s="12">
        <v>0</v>
      </c>
    </row>
    <row r="19" spans="2:9" ht="15" customHeight="1" x14ac:dyDescent="0.2">
      <c r="B19" t="s">
        <v>75</v>
      </c>
      <c r="C19" s="12">
        <v>23</v>
      </c>
      <c r="D19" s="8">
        <v>4.3499999999999996</v>
      </c>
      <c r="E19" s="12">
        <v>13</v>
      </c>
      <c r="F19" s="8">
        <v>4.25</v>
      </c>
      <c r="G19" s="12">
        <v>9</v>
      </c>
      <c r="H19" s="8">
        <v>4.1100000000000003</v>
      </c>
      <c r="I19" s="12">
        <v>0</v>
      </c>
    </row>
    <row r="20" spans="2:9" ht="15" customHeight="1" x14ac:dyDescent="0.2">
      <c r="B20" s="9" t="s">
        <v>248</v>
      </c>
      <c r="C20" s="12">
        <f>SUM(LTBL_12410[総数／事業所数])</f>
        <v>529</v>
      </c>
      <c r="E20" s="12">
        <f>SUBTOTAL(109,LTBL_12410[個人／事業所数])</f>
        <v>306</v>
      </c>
      <c r="G20" s="12">
        <f>SUBTOTAL(109,LTBL_12410[法人／事業所数])</f>
        <v>219</v>
      </c>
      <c r="I20" s="12">
        <f>SUBTOTAL(109,LTBL_12410[法人以外の団体／事業所数])</f>
        <v>1</v>
      </c>
    </row>
    <row r="21" spans="2:9" ht="15" customHeight="1" x14ac:dyDescent="0.2">
      <c r="E21" s="11">
        <f>LTBL_12410[[#Totals],[個人／事業所数]]/LTBL_12410[[#Totals],[総数／事業所数]]</f>
        <v>0.57844990548204156</v>
      </c>
      <c r="G21" s="11">
        <f>LTBL_12410[[#Totals],[法人／事業所数]]/LTBL_12410[[#Totals],[総数／事業所数]]</f>
        <v>0.41398865784499056</v>
      </c>
      <c r="I21" s="11">
        <f>LTBL_12410[[#Totals],[法人以外の団体／事業所数]]/LTBL_12410[[#Totals],[総数／事業所数]]</f>
        <v>1.890359168241966E-3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61</v>
      </c>
      <c r="D24" s="8">
        <v>11.53</v>
      </c>
      <c r="E24" s="12">
        <v>58</v>
      </c>
      <c r="F24" s="8">
        <v>18.95</v>
      </c>
      <c r="G24" s="12">
        <v>3</v>
      </c>
      <c r="H24" s="8">
        <v>1.37</v>
      </c>
      <c r="I24" s="12">
        <v>0</v>
      </c>
    </row>
    <row r="25" spans="2:9" ht="15" customHeight="1" x14ac:dyDescent="0.2">
      <c r="B25" t="s">
        <v>85</v>
      </c>
      <c r="C25" s="12">
        <v>57</v>
      </c>
      <c r="D25" s="8">
        <v>10.78</v>
      </c>
      <c r="E25" s="12">
        <v>35</v>
      </c>
      <c r="F25" s="8">
        <v>11.44</v>
      </c>
      <c r="G25" s="12">
        <v>22</v>
      </c>
      <c r="H25" s="8">
        <v>10.050000000000001</v>
      </c>
      <c r="I25" s="12">
        <v>0</v>
      </c>
    </row>
    <row r="26" spans="2:9" ht="15" customHeight="1" x14ac:dyDescent="0.2">
      <c r="B26" t="s">
        <v>84</v>
      </c>
      <c r="C26" s="12">
        <v>49</v>
      </c>
      <c r="D26" s="8">
        <v>9.26</v>
      </c>
      <c r="E26" s="12">
        <v>16</v>
      </c>
      <c r="F26" s="8">
        <v>5.23</v>
      </c>
      <c r="G26" s="12">
        <v>33</v>
      </c>
      <c r="H26" s="8">
        <v>15.07</v>
      </c>
      <c r="I26" s="12">
        <v>0</v>
      </c>
    </row>
    <row r="27" spans="2:9" ht="15" customHeight="1" x14ac:dyDescent="0.2">
      <c r="B27" t="s">
        <v>97</v>
      </c>
      <c r="C27" s="12">
        <v>46</v>
      </c>
      <c r="D27" s="8">
        <v>8.6999999999999993</v>
      </c>
      <c r="E27" s="12">
        <v>40</v>
      </c>
      <c r="F27" s="8">
        <v>13.07</v>
      </c>
      <c r="G27" s="12">
        <v>5</v>
      </c>
      <c r="H27" s="8">
        <v>2.2799999999999998</v>
      </c>
      <c r="I27" s="12">
        <v>1</v>
      </c>
    </row>
    <row r="28" spans="2:9" ht="15" customHeight="1" x14ac:dyDescent="0.2">
      <c r="B28" t="s">
        <v>92</v>
      </c>
      <c r="C28" s="12">
        <v>37</v>
      </c>
      <c r="D28" s="8">
        <v>6.99</v>
      </c>
      <c r="E28" s="12">
        <v>15</v>
      </c>
      <c r="F28" s="8">
        <v>4.9000000000000004</v>
      </c>
      <c r="G28" s="12">
        <v>22</v>
      </c>
      <c r="H28" s="8">
        <v>10.050000000000001</v>
      </c>
      <c r="I28" s="12">
        <v>0</v>
      </c>
    </row>
    <row r="29" spans="2:9" ht="15" customHeight="1" x14ac:dyDescent="0.2">
      <c r="B29" t="s">
        <v>86</v>
      </c>
      <c r="C29" s="12">
        <v>25</v>
      </c>
      <c r="D29" s="8">
        <v>4.7300000000000004</v>
      </c>
      <c r="E29" s="12">
        <v>13</v>
      </c>
      <c r="F29" s="8">
        <v>4.25</v>
      </c>
      <c r="G29" s="12">
        <v>12</v>
      </c>
      <c r="H29" s="8">
        <v>5.48</v>
      </c>
      <c r="I29" s="12">
        <v>0</v>
      </c>
    </row>
    <row r="30" spans="2:9" ht="15" customHeight="1" x14ac:dyDescent="0.2">
      <c r="B30" t="s">
        <v>90</v>
      </c>
      <c r="C30" s="12">
        <v>23</v>
      </c>
      <c r="D30" s="8">
        <v>4.3499999999999996</v>
      </c>
      <c r="E30" s="12">
        <v>12</v>
      </c>
      <c r="F30" s="8">
        <v>3.92</v>
      </c>
      <c r="G30" s="12">
        <v>11</v>
      </c>
      <c r="H30" s="8">
        <v>5.0199999999999996</v>
      </c>
      <c r="I30" s="12">
        <v>0</v>
      </c>
    </row>
    <row r="31" spans="2:9" ht="15" customHeight="1" x14ac:dyDescent="0.2">
      <c r="B31" t="s">
        <v>91</v>
      </c>
      <c r="C31" s="12">
        <v>21</v>
      </c>
      <c r="D31" s="8">
        <v>3.97</v>
      </c>
      <c r="E31" s="12">
        <v>12</v>
      </c>
      <c r="F31" s="8">
        <v>3.92</v>
      </c>
      <c r="G31" s="12">
        <v>9</v>
      </c>
      <c r="H31" s="8">
        <v>4.1100000000000003</v>
      </c>
      <c r="I31" s="12">
        <v>0</v>
      </c>
    </row>
    <row r="32" spans="2:9" ht="15" customHeight="1" x14ac:dyDescent="0.2">
      <c r="B32" t="s">
        <v>94</v>
      </c>
      <c r="C32" s="12">
        <v>21</v>
      </c>
      <c r="D32" s="8">
        <v>3.97</v>
      </c>
      <c r="E32" s="12">
        <v>13</v>
      </c>
      <c r="F32" s="8">
        <v>4.25</v>
      </c>
      <c r="G32" s="12">
        <v>8</v>
      </c>
      <c r="H32" s="8">
        <v>3.65</v>
      </c>
      <c r="I32" s="12">
        <v>0</v>
      </c>
    </row>
    <row r="33" spans="2:9" ht="15" customHeight="1" x14ac:dyDescent="0.2">
      <c r="B33" t="s">
        <v>103</v>
      </c>
      <c r="C33" s="12">
        <v>15</v>
      </c>
      <c r="D33" s="8">
        <v>2.84</v>
      </c>
      <c r="E33" s="12">
        <v>12</v>
      </c>
      <c r="F33" s="8">
        <v>3.92</v>
      </c>
      <c r="G33" s="12">
        <v>3</v>
      </c>
      <c r="H33" s="8">
        <v>1.37</v>
      </c>
      <c r="I33" s="12">
        <v>0</v>
      </c>
    </row>
    <row r="34" spans="2:9" ht="15" customHeight="1" x14ac:dyDescent="0.2">
      <c r="B34" t="s">
        <v>95</v>
      </c>
      <c r="C34" s="12">
        <v>10</v>
      </c>
      <c r="D34" s="8">
        <v>1.89</v>
      </c>
      <c r="E34" s="12">
        <v>9</v>
      </c>
      <c r="F34" s="8">
        <v>2.94</v>
      </c>
      <c r="G34" s="12">
        <v>1</v>
      </c>
      <c r="H34" s="8">
        <v>0.46</v>
      </c>
      <c r="I34" s="12">
        <v>0</v>
      </c>
    </row>
    <row r="35" spans="2:9" ht="15" customHeight="1" x14ac:dyDescent="0.2">
      <c r="B35" t="s">
        <v>100</v>
      </c>
      <c r="C35" s="12">
        <v>10</v>
      </c>
      <c r="D35" s="8">
        <v>1.89</v>
      </c>
      <c r="E35" s="12">
        <v>8</v>
      </c>
      <c r="F35" s="8">
        <v>2.61</v>
      </c>
      <c r="G35" s="12">
        <v>2</v>
      </c>
      <c r="H35" s="8">
        <v>0.91</v>
      </c>
      <c r="I35" s="12">
        <v>0</v>
      </c>
    </row>
    <row r="36" spans="2:9" ht="15" customHeight="1" x14ac:dyDescent="0.2">
      <c r="B36" t="s">
        <v>101</v>
      </c>
      <c r="C36" s="12">
        <v>10</v>
      </c>
      <c r="D36" s="8">
        <v>1.89</v>
      </c>
      <c r="E36" s="12">
        <v>10</v>
      </c>
      <c r="F36" s="8">
        <v>3.27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106</v>
      </c>
      <c r="C37" s="12">
        <v>9</v>
      </c>
      <c r="D37" s="8">
        <v>1.7</v>
      </c>
      <c r="E37" s="12">
        <v>5</v>
      </c>
      <c r="F37" s="8">
        <v>1.63</v>
      </c>
      <c r="G37" s="12">
        <v>4</v>
      </c>
      <c r="H37" s="8">
        <v>1.83</v>
      </c>
      <c r="I37" s="12">
        <v>0</v>
      </c>
    </row>
    <row r="38" spans="2:9" ht="15" customHeight="1" x14ac:dyDescent="0.2">
      <c r="B38" t="s">
        <v>104</v>
      </c>
      <c r="C38" s="12">
        <v>9</v>
      </c>
      <c r="D38" s="8">
        <v>1.7</v>
      </c>
      <c r="E38" s="12">
        <v>2</v>
      </c>
      <c r="F38" s="8">
        <v>0.65</v>
      </c>
      <c r="G38" s="12">
        <v>7</v>
      </c>
      <c r="H38" s="8">
        <v>3.2</v>
      </c>
      <c r="I38" s="12">
        <v>0</v>
      </c>
    </row>
    <row r="39" spans="2:9" ht="15" customHeight="1" x14ac:dyDescent="0.2">
      <c r="B39" t="s">
        <v>89</v>
      </c>
      <c r="C39" s="12">
        <v>9</v>
      </c>
      <c r="D39" s="8">
        <v>1.7</v>
      </c>
      <c r="E39" s="12">
        <v>4</v>
      </c>
      <c r="F39" s="8">
        <v>1.31</v>
      </c>
      <c r="G39" s="12">
        <v>5</v>
      </c>
      <c r="H39" s="8">
        <v>2.2799999999999998</v>
      </c>
      <c r="I39" s="12">
        <v>0</v>
      </c>
    </row>
    <row r="40" spans="2:9" ht="15" customHeight="1" x14ac:dyDescent="0.2">
      <c r="B40" t="s">
        <v>93</v>
      </c>
      <c r="C40" s="12">
        <v>8</v>
      </c>
      <c r="D40" s="8">
        <v>1.51</v>
      </c>
      <c r="E40" s="12">
        <v>1</v>
      </c>
      <c r="F40" s="8">
        <v>0.33</v>
      </c>
      <c r="G40" s="12">
        <v>7</v>
      </c>
      <c r="H40" s="8">
        <v>3.2</v>
      </c>
      <c r="I40" s="12">
        <v>0</v>
      </c>
    </row>
    <row r="41" spans="2:9" ht="15" customHeight="1" x14ac:dyDescent="0.2">
      <c r="B41" t="s">
        <v>111</v>
      </c>
      <c r="C41" s="12">
        <v>8</v>
      </c>
      <c r="D41" s="8">
        <v>1.51</v>
      </c>
      <c r="E41" s="12">
        <v>5</v>
      </c>
      <c r="F41" s="8">
        <v>1.63</v>
      </c>
      <c r="G41" s="12">
        <v>3</v>
      </c>
      <c r="H41" s="8">
        <v>1.37</v>
      </c>
      <c r="I41" s="12">
        <v>0</v>
      </c>
    </row>
    <row r="42" spans="2:9" ht="15" customHeight="1" x14ac:dyDescent="0.2">
      <c r="B42" t="s">
        <v>113</v>
      </c>
      <c r="C42" s="12">
        <v>7</v>
      </c>
      <c r="D42" s="8">
        <v>1.32</v>
      </c>
      <c r="E42" s="12">
        <v>3</v>
      </c>
      <c r="F42" s="8">
        <v>0.98</v>
      </c>
      <c r="G42" s="12">
        <v>4</v>
      </c>
      <c r="H42" s="8">
        <v>1.83</v>
      </c>
      <c r="I42" s="12">
        <v>0</v>
      </c>
    </row>
    <row r="43" spans="2:9" ht="15" customHeight="1" x14ac:dyDescent="0.2">
      <c r="B43" t="s">
        <v>114</v>
      </c>
      <c r="C43" s="12">
        <v>6</v>
      </c>
      <c r="D43" s="8">
        <v>1.1299999999999999</v>
      </c>
      <c r="E43" s="12">
        <v>0</v>
      </c>
      <c r="F43" s="8">
        <v>0</v>
      </c>
      <c r="G43" s="12">
        <v>6</v>
      </c>
      <c r="H43" s="8">
        <v>2.74</v>
      </c>
      <c r="I43" s="12">
        <v>0</v>
      </c>
    </row>
    <row r="44" spans="2:9" ht="15" customHeight="1" x14ac:dyDescent="0.2">
      <c r="B44" t="s">
        <v>109</v>
      </c>
      <c r="C44" s="12">
        <v>6</v>
      </c>
      <c r="D44" s="8">
        <v>1.1299999999999999</v>
      </c>
      <c r="E44" s="12">
        <v>3</v>
      </c>
      <c r="F44" s="8">
        <v>0.98</v>
      </c>
      <c r="G44" s="12">
        <v>3</v>
      </c>
      <c r="H44" s="8">
        <v>1.37</v>
      </c>
      <c r="I44" s="12">
        <v>0</v>
      </c>
    </row>
    <row r="45" spans="2:9" ht="15" customHeight="1" x14ac:dyDescent="0.2">
      <c r="B45" t="s">
        <v>120</v>
      </c>
      <c r="C45" s="12">
        <v>6</v>
      </c>
      <c r="D45" s="8">
        <v>1.1299999999999999</v>
      </c>
      <c r="E45" s="12">
        <v>3</v>
      </c>
      <c r="F45" s="8">
        <v>0.98</v>
      </c>
      <c r="G45" s="12">
        <v>3</v>
      </c>
      <c r="H45" s="8">
        <v>1.37</v>
      </c>
      <c r="I45" s="12">
        <v>0</v>
      </c>
    </row>
    <row r="46" spans="2:9" ht="15" customHeight="1" x14ac:dyDescent="0.2">
      <c r="B46" t="s">
        <v>99</v>
      </c>
      <c r="C46" s="12">
        <v>6</v>
      </c>
      <c r="D46" s="8">
        <v>1.1299999999999999</v>
      </c>
      <c r="E46" s="12">
        <v>5</v>
      </c>
      <c r="F46" s="8">
        <v>1.63</v>
      </c>
      <c r="G46" s="12">
        <v>1</v>
      </c>
      <c r="H46" s="8">
        <v>0.46</v>
      </c>
      <c r="I46" s="12">
        <v>0</v>
      </c>
    </row>
    <row r="47" spans="2:9" ht="15" customHeight="1" x14ac:dyDescent="0.2">
      <c r="B47" t="s">
        <v>105</v>
      </c>
      <c r="C47" s="12">
        <v>6</v>
      </c>
      <c r="D47" s="8">
        <v>1.1299999999999999</v>
      </c>
      <c r="E47" s="12">
        <v>1</v>
      </c>
      <c r="F47" s="8">
        <v>0.33</v>
      </c>
      <c r="G47" s="12">
        <v>5</v>
      </c>
      <c r="H47" s="8">
        <v>2.2799999999999998</v>
      </c>
      <c r="I47" s="12">
        <v>0</v>
      </c>
    </row>
    <row r="50" spans="2:9" ht="33" customHeight="1" x14ac:dyDescent="0.2">
      <c r="B50" t="s">
        <v>250</v>
      </c>
      <c r="C50" s="10" t="s">
        <v>77</v>
      </c>
      <c r="D50" s="10" t="s">
        <v>78</v>
      </c>
      <c r="E50" s="10" t="s">
        <v>79</v>
      </c>
      <c r="F50" s="10" t="s">
        <v>80</v>
      </c>
      <c r="G50" s="10" t="s">
        <v>81</v>
      </c>
      <c r="H50" s="10" t="s">
        <v>82</v>
      </c>
      <c r="I50" s="10" t="s">
        <v>83</v>
      </c>
    </row>
    <row r="51" spans="2:9" ht="15" customHeight="1" x14ac:dyDescent="0.2">
      <c r="B51" t="s">
        <v>164</v>
      </c>
      <c r="C51" s="12">
        <v>32</v>
      </c>
      <c r="D51" s="8">
        <v>6.05</v>
      </c>
      <c r="E51" s="12">
        <v>31</v>
      </c>
      <c r="F51" s="8">
        <v>10.130000000000001</v>
      </c>
      <c r="G51" s="12">
        <v>1</v>
      </c>
      <c r="H51" s="8">
        <v>0.46</v>
      </c>
      <c r="I51" s="12">
        <v>0</v>
      </c>
    </row>
    <row r="52" spans="2:9" ht="15" customHeight="1" x14ac:dyDescent="0.2">
      <c r="B52" t="s">
        <v>163</v>
      </c>
      <c r="C52" s="12">
        <v>24</v>
      </c>
      <c r="D52" s="8">
        <v>4.54</v>
      </c>
      <c r="E52" s="12">
        <v>23</v>
      </c>
      <c r="F52" s="8">
        <v>7.52</v>
      </c>
      <c r="G52" s="12">
        <v>1</v>
      </c>
      <c r="H52" s="8">
        <v>0.46</v>
      </c>
      <c r="I52" s="12">
        <v>0</v>
      </c>
    </row>
    <row r="53" spans="2:9" ht="15" customHeight="1" x14ac:dyDescent="0.2">
      <c r="B53" t="s">
        <v>161</v>
      </c>
      <c r="C53" s="12">
        <v>18</v>
      </c>
      <c r="D53" s="8">
        <v>3.4</v>
      </c>
      <c r="E53" s="12">
        <v>16</v>
      </c>
      <c r="F53" s="8">
        <v>5.23</v>
      </c>
      <c r="G53" s="12">
        <v>2</v>
      </c>
      <c r="H53" s="8">
        <v>0.91</v>
      </c>
      <c r="I53" s="12">
        <v>0</v>
      </c>
    </row>
    <row r="54" spans="2:9" ht="15" customHeight="1" x14ac:dyDescent="0.2">
      <c r="B54" t="s">
        <v>150</v>
      </c>
      <c r="C54" s="12">
        <v>17</v>
      </c>
      <c r="D54" s="8">
        <v>3.21</v>
      </c>
      <c r="E54" s="12">
        <v>11</v>
      </c>
      <c r="F54" s="8">
        <v>3.59</v>
      </c>
      <c r="G54" s="12">
        <v>6</v>
      </c>
      <c r="H54" s="8">
        <v>2.74</v>
      </c>
      <c r="I54" s="12">
        <v>0</v>
      </c>
    </row>
    <row r="55" spans="2:9" ht="15" customHeight="1" x14ac:dyDescent="0.2">
      <c r="B55" t="s">
        <v>148</v>
      </c>
      <c r="C55" s="12">
        <v>16</v>
      </c>
      <c r="D55" s="8">
        <v>3.02</v>
      </c>
      <c r="E55" s="12">
        <v>1</v>
      </c>
      <c r="F55" s="8">
        <v>0.33</v>
      </c>
      <c r="G55" s="12">
        <v>15</v>
      </c>
      <c r="H55" s="8">
        <v>6.85</v>
      </c>
      <c r="I55" s="12">
        <v>0</v>
      </c>
    </row>
    <row r="56" spans="2:9" ht="15" customHeight="1" x14ac:dyDescent="0.2">
      <c r="B56" t="s">
        <v>167</v>
      </c>
      <c r="C56" s="12">
        <v>15</v>
      </c>
      <c r="D56" s="8">
        <v>2.84</v>
      </c>
      <c r="E56" s="12">
        <v>12</v>
      </c>
      <c r="F56" s="8">
        <v>3.92</v>
      </c>
      <c r="G56" s="12">
        <v>3</v>
      </c>
      <c r="H56" s="8">
        <v>1.37</v>
      </c>
      <c r="I56" s="12">
        <v>0</v>
      </c>
    </row>
    <row r="57" spans="2:9" ht="15" customHeight="1" x14ac:dyDescent="0.2">
      <c r="B57" t="s">
        <v>197</v>
      </c>
      <c r="C57" s="12">
        <v>14</v>
      </c>
      <c r="D57" s="8">
        <v>2.65</v>
      </c>
      <c r="E57" s="12">
        <v>11</v>
      </c>
      <c r="F57" s="8">
        <v>3.59</v>
      </c>
      <c r="G57" s="12">
        <v>3</v>
      </c>
      <c r="H57" s="8">
        <v>1.37</v>
      </c>
      <c r="I57" s="12">
        <v>0</v>
      </c>
    </row>
    <row r="58" spans="2:9" ht="15" customHeight="1" x14ac:dyDescent="0.2">
      <c r="B58" t="s">
        <v>152</v>
      </c>
      <c r="C58" s="12">
        <v>13</v>
      </c>
      <c r="D58" s="8">
        <v>2.46</v>
      </c>
      <c r="E58" s="12">
        <v>8</v>
      </c>
      <c r="F58" s="8">
        <v>2.61</v>
      </c>
      <c r="G58" s="12">
        <v>5</v>
      </c>
      <c r="H58" s="8">
        <v>2.2799999999999998</v>
      </c>
      <c r="I58" s="12">
        <v>0</v>
      </c>
    </row>
    <row r="59" spans="2:9" ht="15" customHeight="1" x14ac:dyDescent="0.2">
      <c r="B59" t="s">
        <v>175</v>
      </c>
      <c r="C59" s="12">
        <v>12</v>
      </c>
      <c r="D59" s="8">
        <v>2.27</v>
      </c>
      <c r="E59" s="12">
        <v>2</v>
      </c>
      <c r="F59" s="8">
        <v>0.65</v>
      </c>
      <c r="G59" s="12">
        <v>10</v>
      </c>
      <c r="H59" s="8">
        <v>4.57</v>
      </c>
      <c r="I59" s="12">
        <v>0</v>
      </c>
    </row>
    <row r="60" spans="2:9" ht="15" customHeight="1" x14ac:dyDescent="0.2">
      <c r="B60" t="s">
        <v>158</v>
      </c>
      <c r="C60" s="12">
        <v>12</v>
      </c>
      <c r="D60" s="8">
        <v>2.27</v>
      </c>
      <c r="E60" s="12">
        <v>10</v>
      </c>
      <c r="F60" s="8">
        <v>3.27</v>
      </c>
      <c r="G60" s="12">
        <v>2</v>
      </c>
      <c r="H60" s="8">
        <v>0.91</v>
      </c>
      <c r="I60" s="12">
        <v>0</v>
      </c>
    </row>
    <row r="61" spans="2:9" ht="15" customHeight="1" x14ac:dyDescent="0.2">
      <c r="B61" t="s">
        <v>155</v>
      </c>
      <c r="C61" s="12">
        <v>11</v>
      </c>
      <c r="D61" s="8">
        <v>2.08</v>
      </c>
      <c r="E61" s="12">
        <v>6</v>
      </c>
      <c r="F61" s="8">
        <v>1.96</v>
      </c>
      <c r="G61" s="12">
        <v>5</v>
      </c>
      <c r="H61" s="8">
        <v>2.2799999999999998</v>
      </c>
      <c r="I61" s="12">
        <v>0</v>
      </c>
    </row>
    <row r="62" spans="2:9" ht="15" customHeight="1" x14ac:dyDescent="0.2">
      <c r="B62" t="s">
        <v>156</v>
      </c>
      <c r="C62" s="12">
        <v>11</v>
      </c>
      <c r="D62" s="8">
        <v>2.08</v>
      </c>
      <c r="E62" s="12">
        <v>5</v>
      </c>
      <c r="F62" s="8">
        <v>1.63</v>
      </c>
      <c r="G62" s="12">
        <v>6</v>
      </c>
      <c r="H62" s="8">
        <v>2.74</v>
      </c>
      <c r="I62" s="12">
        <v>0</v>
      </c>
    </row>
    <row r="63" spans="2:9" ht="15" customHeight="1" x14ac:dyDescent="0.2">
      <c r="B63" t="s">
        <v>153</v>
      </c>
      <c r="C63" s="12">
        <v>10</v>
      </c>
      <c r="D63" s="8">
        <v>1.89</v>
      </c>
      <c r="E63" s="12">
        <v>5</v>
      </c>
      <c r="F63" s="8">
        <v>1.63</v>
      </c>
      <c r="G63" s="12">
        <v>5</v>
      </c>
      <c r="H63" s="8">
        <v>2.2799999999999998</v>
      </c>
      <c r="I63" s="12">
        <v>0</v>
      </c>
    </row>
    <row r="64" spans="2:9" ht="15" customHeight="1" x14ac:dyDescent="0.2">
      <c r="B64" t="s">
        <v>162</v>
      </c>
      <c r="C64" s="12">
        <v>10</v>
      </c>
      <c r="D64" s="8">
        <v>1.89</v>
      </c>
      <c r="E64" s="12">
        <v>10</v>
      </c>
      <c r="F64" s="8">
        <v>3.27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149</v>
      </c>
      <c r="C65" s="12">
        <v>8</v>
      </c>
      <c r="D65" s="8">
        <v>1.51</v>
      </c>
      <c r="E65" s="12">
        <v>3</v>
      </c>
      <c r="F65" s="8">
        <v>0.98</v>
      </c>
      <c r="G65" s="12">
        <v>5</v>
      </c>
      <c r="H65" s="8">
        <v>2.2799999999999998</v>
      </c>
      <c r="I65" s="12">
        <v>0</v>
      </c>
    </row>
    <row r="66" spans="2:9" ht="15" customHeight="1" x14ac:dyDescent="0.2">
      <c r="B66" t="s">
        <v>154</v>
      </c>
      <c r="C66" s="12">
        <v>8</v>
      </c>
      <c r="D66" s="8">
        <v>1.51</v>
      </c>
      <c r="E66" s="12">
        <v>3</v>
      </c>
      <c r="F66" s="8">
        <v>0.98</v>
      </c>
      <c r="G66" s="12">
        <v>5</v>
      </c>
      <c r="H66" s="8">
        <v>2.2799999999999998</v>
      </c>
      <c r="I66" s="12">
        <v>0</v>
      </c>
    </row>
    <row r="67" spans="2:9" ht="15" customHeight="1" x14ac:dyDescent="0.2">
      <c r="B67" t="s">
        <v>204</v>
      </c>
      <c r="C67" s="12">
        <v>8</v>
      </c>
      <c r="D67" s="8">
        <v>1.51</v>
      </c>
      <c r="E67" s="12">
        <v>4</v>
      </c>
      <c r="F67" s="8">
        <v>1.31</v>
      </c>
      <c r="G67" s="12">
        <v>4</v>
      </c>
      <c r="H67" s="8">
        <v>1.83</v>
      </c>
      <c r="I67" s="12">
        <v>0</v>
      </c>
    </row>
    <row r="68" spans="2:9" ht="15" customHeight="1" x14ac:dyDescent="0.2">
      <c r="B68" t="s">
        <v>194</v>
      </c>
      <c r="C68" s="12">
        <v>8</v>
      </c>
      <c r="D68" s="8">
        <v>1.51</v>
      </c>
      <c r="E68" s="12">
        <v>5</v>
      </c>
      <c r="F68" s="8">
        <v>1.63</v>
      </c>
      <c r="G68" s="12">
        <v>3</v>
      </c>
      <c r="H68" s="8">
        <v>1.37</v>
      </c>
      <c r="I68" s="12">
        <v>0</v>
      </c>
    </row>
    <row r="69" spans="2:9" ht="15" customHeight="1" x14ac:dyDescent="0.2">
      <c r="B69" t="s">
        <v>192</v>
      </c>
      <c r="C69" s="12">
        <v>8</v>
      </c>
      <c r="D69" s="8">
        <v>1.51</v>
      </c>
      <c r="E69" s="12">
        <v>6</v>
      </c>
      <c r="F69" s="8">
        <v>1.96</v>
      </c>
      <c r="G69" s="12">
        <v>1</v>
      </c>
      <c r="H69" s="8">
        <v>0.46</v>
      </c>
      <c r="I69" s="12">
        <v>1</v>
      </c>
    </row>
    <row r="70" spans="2:9" ht="15" customHeight="1" x14ac:dyDescent="0.2">
      <c r="B70" t="s">
        <v>166</v>
      </c>
      <c r="C70" s="12">
        <v>8</v>
      </c>
      <c r="D70" s="8">
        <v>1.51</v>
      </c>
      <c r="E70" s="12">
        <v>8</v>
      </c>
      <c r="F70" s="8">
        <v>2.61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6116C-4352-4750-9A6A-78ED6824A2D6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303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42</v>
      </c>
      <c r="D6" s="8">
        <v>12.21</v>
      </c>
      <c r="E6" s="12">
        <v>12</v>
      </c>
      <c r="F6" s="8">
        <v>5.66</v>
      </c>
      <c r="G6" s="12">
        <v>30</v>
      </c>
      <c r="H6" s="8">
        <v>23.08</v>
      </c>
      <c r="I6" s="12">
        <v>0</v>
      </c>
    </row>
    <row r="7" spans="2:9" ht="15" customHeight="1" x14ac:dyDescent="0.2">
      <c r="B7" t="s">
        <v>63</v>
      </c>
      <c r="C7" s="12">
        <v>11</v>
      </c>
      <c r="D7" s="8">
        <v>3.2</v>
      </c>
      <c r="E7" s="12">
        <v>4</v>
      </c>
      <c r="F7" s="8">
        <v>1.89</v>
      </c>
      <c r="G7" s="12">
        <v>7</v>
      </c>
      <c r="H7" s="8">
        <v>5.38</v>
      </c>
      <c r="I7" s="12">
        <v>0</v>
      </c>
    </row>
    <row r="8" spans="2:9" ht="15" customHeight="1" x14ac:dyDescent="0.2">
      <c r="B8" t="s">
        <v>64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65</v>
      </c>
      <c r="C9" s="12">
        <v>3</v>
      </c>
      <c r="D9" s="8">
        <v>0.87</v>
      </c>
      <c r="E9" s="12">
        <v>0</v>
      </c>
      <c r="F9" s="8">
        <v>0</v>
      </c>
      <c r="G9" s="12">
        <v>3</v>
      </c>
      <c r="H9" s="8">
        <v>2.31</v>
      </c>
      <c r="I9" s="12">
        <v>0</v>
      </c>
    </row>
    <row r="10" spans="2:9" ht="15" customHeight="1" x14ac:dyDescent="0.2">
      <c r="B10" t="s">
        <v>66</v>
      </c>
      <c r="C10" s="12">
        <v>3</v>
      </c>
      <c r="D10" s="8">
        <v>0.87</v>
      </c>
      <c r="E10" s="12">
        <v>1</v>
      </c>
      <c r="F10" s="8">
        <v>0.47</v>
      </c>
      <c r="G10" s="12">
        <v>2</v>
      </c>
      <c r="H10" s="8">
        <v>1.54</v>
      </c>
      <c r="I10" s="12">
        <v>0</v>
      </c>
    </row>
    <row r="11" spans="2:9" ht="15" customHeight="1" x14ac:dyDescent="0.2">
      <c r="B11" t="s">
        <v>67</v>
      </c>
      <c r="C11" s="12">
        <v>89</v>
      </c>
      <c r="D11" s="8">
        <v>25.87</v>
      </c>
      <c r="E11" s="12">
        <v>49</v>
      </c>
      <c r="F11" s="8">
        <v>23.11</v>
      </c>
      <c r="G11" s="12">
        <v>40</v>
      </c>
      <c r="H11" s="8">
        <v>30.77</v>
      </c>
      <c r="I11" s="12">
        <v>0</v>
      </c>
    </row>
    <row r="12" spans="2:9" ht="15" customHeight="1" x14ac:dyDescent="0.2">
      <c r="B12" t="s">
        <v>68</v>
      </c>
      <c r="C12" s="12">
        <v>1</v>
      </c>
      <c r="D12" s="8">
        <v>0.28999999999999998</v>
      </c>
      <c r="E12" s="12">
        <v>0</v>
      </c>
      <c r="F12" s="8">
        <v>0</v>
      </c>
      <c r="G12" s="12">
        <v>1</v>
      </c>
      <c r="H12" s="8">
        <v>0.77</v>
      </c>
      <c r="I12" s="12">
        <v>0</v>
      </c>
    </row>
    <row r="13" spans="2:9" ht="15" customHeight="1" x14ac:dyDescent="0.2">
      <c r="B13" t="s">
        <v>69</v>
      </c>
      <c r="C13" s="12">
        <v>16</v>
      </c>
      <c r="D13" s="8">
        <v>4.6500000000000004</v>
      </c>
      <c r="E13" s="12">
        <v>5</v>
      </c>
      <c r="F13" s="8">
        <v>2.36</v>
      </c>
      <c r="G13" s="12">
        <v>11</v>
      </c>
      <c r="H13" s="8">
        <v>8.4600000000000009</v>
      </c>
      <c r="I13" s="12">
        <v>0</v>
      </c>
    </row>
    <row r="14" spans="2:9" ht="15" customHeight="1" x14ac:dyDescent="0.2">
      <c r="B14" t="s">
        <v>70</v>
      </c>
      <c r="C14" s="12">
        <v>14</v>
      </c>
      <c r="D14" s="8">
        <v>4.07</v>
      </c>
      <c r="E14" s="12">
        <v>11</v>
      </c>
      <c r="F14" s="8">
        <v>5.19</v>
      </c>
      <c r="G14" s="12">
        <v>3</v>
      </c>
      <c r="H14" s="8">
        <v>2.31</v>
      </c>
      <c r="I14" s="12">
        <v>0</v>
      </c>
    </row>
    <row r="15" spans="2:9" ht="15" customHeight="1" x14ac:dyDescent="0.2">
      <c r="B15" t="s">
        <v>71</v>
      </c>
      <c r="C15" s="12">
        <v>59</v>
      </c>
      <c r="D15" s="8">
        <v>17.149999999999999</v>
      </c>
      <c r="E15" s="12">
        <v>52</v>
      </c>
      <c r="F15" s="8">
        <v>24.53</v>
      </c>
      <c r="G15" s="12">
        <v>7</v>
      </c>
      <c r="H15" s="8">
        <v>5.38</v>
      </c>
      <c r="I15" s="12">
        <v>0</v>
      </c>
    </row>
    <row r="16" spans="2:9" ht="15" customHeight="1" x14ac:dyDescent="0.2">
      <c r="B16" t="s">
        <v>72</v>
      </c>
      <c r="C16" s="12">
        <v>57</v>
      </c>
      <c r="D16" s="8">
        <v>16.57</v>
      </c>
      <c r="E16" s="12">
        <v>52</v>
      </c>
      <c r="F16" s="8">
        <v>24.53</v>
      </c>
      <c r="G16" s="12">
        <v>4</v>
      </c>
      <c r="H16" s="8">
        <v>3.08</v>
      </c>
      <c r="I16" s="12">
        <v>0</v>
      </c>
    </row>
    <row r="17" spans="2:9" ht="15" customHeight="1" x14ac:dyDescent="0.2">
      <c r="B17" t="s">
        <v>73</v>
      </c>
      <c r="C17" s="12">
        <v>9</v>
      </c>
      <c r="D17" s="8">
        <v>2.62</v>
      </c>
      <c r="E17" s="12">
        <v>6</v>
      </c>
      <c r="F17" s="8">
        <v>2.83</v>
      </c>
      <c r="G17" s="12">
        <v>2</v>
      </c>
      <c r="H17" s="8">
        <v>1.54</v>
      </c>
      <c r="I17" s="12">
        <v>0</v>
      </c>
    </row>
    <row r="18" spans="2:9" ht="15" customHeight="1" x14ac:dyDescent="0.2">
      <c r="B18" t="s">
        <v>74</v>
      </c>
      <c r="C18" s="12">
        <v>23</v>
      </c>
      <c r="D18" s="8">
        <v>6.69</v>
      </c>
      <c r="E18" s="12">
        <v>11</v>
      </c>
      <c r="F18" s="8">
        <v>5.19</v>
      </c>
      <c r="G18" s="12">
        <v>12</v>
      </c>
      <c r="H18" s="8">
        <v>9.23</v>
      </c>
      <c r="I18" s="12">
        <v>0</v>
      </c>
    </row>
    <row r="19" spans="2:9" ht="15" customHeight="1" x14ac:dyDescent="0.2">
      <c r="B19" t="s">
        <v>75</v>
      </c>
      <c r="C19" s="12">
        <v>17</v>
      </c>
      <c r="D19" s="8">
        <v>4.9400000000000004</v>
      </c>
      <c r="E19" s="12">
        <v>9</v>
      </c>
      <c r="F19" s="8">
        <v>4.25</v>
      </c>
      <c r="G19" s="12">
        <v>8</v>
      </c>
      <c r="H19" s="8">
        <v>6.15</v>
      </c>
      <c r="I19" s="12">
        <v>0</v>
      </c>
    </row>
    <row r="20" spans="2:9" ht="15" customHeight="1" x14ac:dyDescent="0.2">
      <c r="B20" s="9" t="s">
        <v>248</v>
      </c>
      <c r="C20" s="12">
        <f>SUM(LTBL_12421[総数／事業所数])</f>
        <v>344</v>
      </c>
      <c r="E20" s="12">
        <f>SUBTOTAL(109,LTBL_12421[個人／事業所数])</f>
        <v>212</v>
      </c>
      <c r="G20" s="12">
        <f>SUBTOTAL(109,LTBL_12421[法人／事業所数])</f>
        <v>130</v>
      </c>
      <c r="I20" s="12">
        <f>SUBTOTAL(109,LTBL_12421[法人以外の団体／事業所数])</f>
        <v>0</v>
      </c>
    </row>
    <row r="21" spans="2:9" ht="15" customHeight="1" x14ac:dyDescent="0.2">
      <c r="E21" s="11">
        <f>LTBL_12421[[#Totals],[個人／事業所数]]/LTBL_12421[[#Totals],[総数／事業所数]]</f>
        <v>0.61627906976744184</v>
      </c>
      <c r="G21" s="11">
        <f>LTBL_12421[[#Totals],[法人／事業所数]]/LTBL_12421[[#Totals],[総数／事業所数]]</f>
        <v>0.37790697674418605</v>
      </c>
      <c r="I21" s="11">
        <f>LTBL_12421[[#Totals],[法人以外の団体／事業所数]]/LTBL_12421[[#Totals],[総数／事業所数]]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97</v>
      </c>
      <c r="C24" s="12">
        <v>52</v>
      </c>
      <c r="D24" s="8">
        <v>15.12</v>
      </c>
      <c r="E24" s="12">
        <v>45</v>
      </c>
      <c r="F24" s="8">
        <v>21.23</v>
      </c>
      <c r="G24" s="12">
        <v>7</v>
      </c>
      <c r="H24" s="8">
        <v>5.38</v>
      </c>
      <c r="I24" s="12">
        <v>0</v>
      </c>
    </row>
    <row r="25" spans="2:9" ht="15" customHeight="1" x14ac:dyDescent="0.2">
      <c r="B25" t="s">
        <v>98</v>
      </c>
      <c r="C25" s="12">
        <v>44</v>
      </c>
      <c r="D25" s="8">
        <v>12.79</v>
      </c>
      <c r="E25" s="12">
        <v>43</v>
      </c>
      <c r="F25" s="8">
        <v>20.28</v>
      </c>
      <c r="G25" s="12">
        <v>1</v>
      </c>
      <c r="H25" s="8">
        <v>0.77</v>
      </c>
      <c r="I25" s="12">
        <v>0</v>
      </c>
    </row>
    <row r="26" spans="2:9" ht="15" customHeight="1" x14ac:dyDescent="0.2">
      <c r="B26" t="s">
        <v>92</v>
      </c>
      <c r="C26" s="12">
        <v>37</v>
      </c>
      <c r="D26" s="8">
        <v>10.76</v>
      </c>
      <c r="E26" s="12">
        <v>20</v>
      </c>
      <c r="F26" s="8">
        <v>9.43</v>
      </c>
      <c r="G26" s="12">
        <v>17</v>
      </c>
      <c r="H26" s="8">
        <v>13.08</v>
      </c>
      <c r="I26" s="12">
        <v>0</v>
      </c>
    </row>
    <row r="27" spans="2:9" ht="15" customHeight="1" x14ac:dyDescent="0.2">
      <c r="B27" t="s">
        <v>90</v>
      </c>
      <c r="C27" s="12">
        <v>21</v>
      </c>
      <c r="D27" s="8">
        <v>6.1</v>
      </c>
      <c r="E27" s="12">
        <v>13</v>
      </c>
      <c r="F27" s="8">
        <v>6.13</v>
      </c>
      <c r="G27" s="12">
        <v>8</v>
      </c>
      <c r="H27" s="8">
        <v>6.15</v>
      </c>
      <c r="I27" s="12">
        <v>0</v>
      </c>
    </row>
    <row r="28" spans="2:9" ht="15" customHeight="1" x14ac:dyDescent="0.2">
      <c r="B28" t="s">
        <v>84</v>
      </c>
      <c r="C28" s="12">
        <v>17</v>
      </c>
      <c r="D28" s="8">
        <v>4.9400000000000004</v>
      </c>
      <c r="E28" s="12">
        <v>2</v>
      </c>
      <c r="F28" s="8">
        <v>0.94</v>
      </c>
      <c r="G28" s="12">
        <v>15</v>
      </c>
      <c r="H28" s="8">
        <v>11.54</v>
      </c>
      <c r="I28" s="12">
        <v>0</v>
      </c>
    </row>
    <row r="29" spans="2:9" ht="15" customHeight="1" x14ac:dyDescent="0.2">
      <c r="B29" t="s">
        <v>101</v>
      </c>
      <c r="C29" s="12">
        <v>17</v>
      </c>
      <c r="D29" s="8">
        <v>4.9400000000000004</v>
      </c>
      <c r="E29" s="12">
        <v>11</v>
      </c>
      <c r="F29" s="8">
        <v>5.19</v>
      </c>
      <c r="G29" s="12">
        <v>6</v>
      </c>
      <c r="H29" s="8">
        <v>4.62</v>
      </c>
      <c r="I29" s="12">
        <v>0</v>
      </c>
    </row>
    <row r="30" spans="2:9" ht="15" customHeight="1" x14ac:dyDescent="0.2">
      <c r="B30" t="s">
        <v>85</v>
      </c>
      <c r="C30" s="12">
        <v>15</v>
      </c>
      <c r="D30" s="8">
        <v>4.3600000000000003</v>
      </c>
      <c r="E30" s="12">
        <v>7</v>
      </c>
      <c r="F30" s="8">
        <v>3.3</v>
      </c>
      <c r="G30" s="12">
        <v>8</v>
      </c>
      <c r="H30" s="8">
        <v>6.15</v>
      </c>
      <c r="I30" s="12">
        <v>0</v>
      </c>
    </row>
    <row r="31" spans="2:9" ht="15" customHeight="1" x14ac:dyDescent="0.2">
      <c r="B31" t="s">
        <v>91</v>
      </c>
      <c r="C31" s="12">
        <v>12</v>
      </c>
      <c r="D31" s="8">
        <v>3.49</v>
      </c>
      <c r="E31" s="12">
        <v>5</v>
      </c>
      <c r="F31" s="8">
        <v>2.36</v>
      </c>
      <c r="G31" s="12">
        <v>7</v>
      </c>
      <c r="H31" s="8">
        <v>5.38</v>
      </c>
      <c r="I31" s="12">
        <v>0</v>
      </c>
    </row>
    <row r="32" spans="2:9" ht="15" customHeight="1" x14ac:dyDescent="0.2">
      <c r="B32" t="s">
        <v>89</v>
      </c>
      <c r="C32" s="12">
        <v>11</v>
      </c>
      <c r="D32" s="8">
        <v>3.2</v>
      </c>
      <c r="E32" s="12">
        <v>9</v>
      </c>
      <c r="F32" s="8">
        <v>4.25</v>
      </c>
      <c r="G32" s="12">
        <v>2</v>
      </c>
      <c r="H32" s="8">
        <v>1.54</v>
      </c>
      <c r="I32" s="12">
        <v>0</v>
      </c>
    </row>
    <row r="33" spans="2:9" ht="15" customHeight="1" x14ac:dyDescent="0.2">
      <c r="B33" t="s">
        <v>103</v>
      </c>
      <c r="C33" s="12">
        <v>11</v>
      </c>
      <c r="D33" s="8">
        <v>3.2</v>
      </c>
      <c r="E33" s="12">
        <v>8</v>
      </c>
      <c r="F33" s="8">
        <v>3.77</v>
      </c>
      <c r="G33" s="12">
        <v>3</v>
      </c>
      <c r="H33" s="8">
        <v>2.31</v>
      </c>
      <c r="I33" s="12">
        <v>0</v>
      </c>
    </row>
    <row r="34" spans="2:9" ht="15" customHeight="1" x14ac:dyDescent="0.2">
      <c r="B34" t="s">
        <v>86</v>
      </c>
      <c r="C34" s="12">
        <v>10</v>
      </c>
      <c r="D34" s="8">
        <v>2.91</v>
      </c>
      <c r="E34" s="12">
        <v>3</v>
      </c>
      <c r="F34" s="8">
        <v>1.42</v>
      </c>
      <c r="G34" s="12">
        <v>7</v>
      </c>
      <c r="H34" s="8">
        <v>5.38</v>
      </c>
      <c r="I34" s="12">
        <v>0</v>
      </c>
    </row>
    <row r="35" spans="2:9" ht="15" customHeight="1" x14ac:dyDescent="0.2">
      <c r="B35" t="s">
        <v>94</v>
      </c>
      <c r="C35" s="12">
        <v>10</v>
      </c>
      <c r="D35" s="8">
        <v>2.91</v>
      </c>
      <c r="E35" s="12">
        <v>4</v>
      </c>
      <c r="F35" s="8">
        <v>1.89</v>
      </c>
      <c r="G35" s="12">
        <v>6</v>
      </c>
      <c r="H35" s="8">
        <v>4.62</v>
      </c>
      <c r="I35" s="12">
        <v>0</v>
      </c>
    </row>
    <row r="36" spans="2:9" ht="15" customHeight="1" x14ac:dyDescent="0.2">
      <c r="B36" t="s">
        <v>95</v>
      </c>
      <c r="C36" s="12">
        <v>9</v>
      </c>
      <c r="D36" s="8">
        <v>2.62</v>
      </c>
      <c r="E36" s="12">
        <v>6</v>
      </c>
      <c r="F36" s="8">
        <v>2.83</v>
      </c>
      <c r="G36" s="12">
        <v>3</v>
      </c>
      <c r="H36" s="8">
        <v>2.31</v>
      </c>
      <c r="I36" s="12">
        <v>0</v>
      </c>
    </row>
    <row r="37" spans="2:9" ht="15" customHeight="1" x14ac:dyDescent="0.2">
      <c r="B37" t="s">
        <v>99</v>
      </c>
      <c r="C37" s="12">
        <v>9</v>
      </c>
      <c r="D37" s="8">
        <v>2.62</v>
      </c>
      <c r="E37" s="12">
        <v>5</v>
      </c>
      <c r="F37" s="8">
        <v>2.36</v>
      </c>
      <c r="G37" s="12">
        <v>3</v>
      </c>
      <c r="H37" s="8">
        <v>2.31</v>
      </c>
      <c r="I37" s="12">
        <v>0</v>
      </c>
    </row>
    <row r="38" spans="2:9" ht="15" customHeight="1" x14ac:dyDescent="0.2">
      <c r="B38" t="s">
        <v>100</v>
      </c>
      <c r="C38" s="12">
        <v>9</v>
      </c>
      <c r="D38" s="8">
        <v>2.62</v>
      </c>
      <c r="E38" s="12">
        <v>6</v>
      </c>
      <c r="F38" s="8">
        <v>2.83</v>
      </c>
      <c r="G38" s="12">
        <v>2</v>
      </c>
      <c r="H38" s="8">
        <v>1.54</v>
      </c>
      <c r="I38" s="12">
        <v>0</v>
      </c>
    </row>
    <row r="39" spans="2:9" ht="15" customHeight="1" x14ac:dyDescent="0.2">
      <c r="B39" t="s">
        <v>102</v>
      </c>
      <c r="C39" s="12">
        <v>6</v>
      </c>
      <c r="D39" s="8">
        <v>1.74</v>
      </c>
      <c r="E39" s="12">
        <v>0</v>
      </c>
      <c r="F39" s="8">
        <v>0</v>
      </c>
      <c r="G39" s="12">
        <v>6</v>
      </c>
      <c r="H39" s="8">
        <v>4.62</v>
      </c>
      <c r="I39" s="12">
        <v>0</v>
      </c>
    </row>
    <row r="40" spans="2:9" ht="15" customHeight="1" x14ac:dyDescent="0.2">
      <c r="B40" t="s">
        <v>93</v>
      </c>
      <c r="C40" s="12">
        <v>5</v>
      </c>
      <c r="D40" s="8">
        <v>1.45</v>
      </c>
      <c r="E40" s="12">
        <v>0</v>
      </c>
      <c r="F40" s="8">
        <v>0</v>
      </c>
      <c r="G40" s="12">
        <v>5</v>
      </c>
      <c r="H40" s="8">
        <v>3.85</v>
      </c>
      <c r="I40" s="12">
        <v>0</v>
      </c>
    </row>
    <row r="41" spans="2:9" ht="15" customHeight="1" x14ac:dyDescent="0.2">
      <c r="B41" t="s">
        <v>96</v>
      </c>
      <c r="C41" s="12">
        <v>5</v>
      </c>
      <c r="D41" s="8">
        <v>1.45</v>
      </c>
      <c r="E41" s="12">
        <v>5</v>
      </c>
      <c r="F41" s="8">
        <v>2.36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107</v>
      </c>
      <c r="C42" s="12">
        <v>5</v>
      </c>
      <c r="D42" s="8">
        <v>1.45</v>
      </c>
      <c r="E42" s="12">
        <v>5</v>
      </c>
      <c r="F42" s="8">
        <v>2.36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104</v>
      </c>
      <c r="C43" s="12">
        <v>4</v>
      </c>
      <c r="D43" s="8">
        <v>1.1599999999999999</v>
      </c>
      <c r="E43" s="12">
        <v>1</v>
      </c>
      <c r="F43" s="8">
        <v>0.47</v>
      </c>
      <c r="G43" s="12">
        <v>3</v>
      </c>
      <c r="H43" s="8">
        <v>2.31</v>
      </c>
      <c r="I43" s="12">
        <v>0</v>
      </c>
    </row>
    <row r="44" spans="2:9" ht="15" customHeight="1" x14ac:dyDescent="0.2">
      <c r="B44" t="s">
        <v>112</v>
      </c>
      <c r="C44" s="12">
        <v>4</v>
      </c>
      <c r="D44" s="8">
        <v>1.1599999999999999</v>
      </c>
      <c r="E44" s="12">
        <v>4</v>
      </c>
      <c r="F44" s="8">
        <v>1.89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250</v>
      </c>
      <c r="C47" s="10" t="s">
        <v>77</v>
      </c>
      <c r="D47" s="10" t="s">
        <v>78</v>
      </c>
      <c r="E47" s="10" t="s">
        <v>79</v>
      </c>
      <c r="F47" s="10" t="s">
        <v>80</v>
      </c>
      <c r="G47" s="10" t="s">
        <v>81</v>
      </c>
      <c r="H47" s="10" t="s">
        <v>82</v>
      </c>
      <c r="I47" s="10" t="s">
        <v>83</v>
      </c>
    </row>
    <row r="48" spans="2:9" ht="15" customHeight="1" x14ac:dyDescent="0.2">
      <c r="B48" t="s">
        <v>164</v>
      </c>
      <c r="C48" s="12">
        <v>25</v>
      </c>
      <c r="D48" s="8">
        <v>7.27</v>
      </c>
      <c r="E48" s="12">
        <v>24</v>
      </c>
      <c r="F48" s="8">
        <v>11.32</v>
      </c>
      <c r="G48" s="12">
        <v>1</v>
      </c>
      <c r="H48" s="8">
        <v>0.77</v>
      </c>
      <c r="I48" s="12">
        <v>0</v>
      </c>
    </row>
    <row r="49" spans="2:9" ht="15" customHeight="1" x14ac:dyDescent="0.2">
      <c r="B49" t="s">
        <v>161</v>
      </c>
      <c r="C49" s="12">
        <v>19</v>
      </c>
      <c r="D49" s="8">
        <v>5.52</v>
      </c>
      <c r="E49" s="12">
        <v>15</v>
      </c>
      <c r="F49" s="8">
        <v>7.08</v>
      </c>
      <c r="G49" s="12">
        <v>4</v>
      </c>
      <c r="H49" s="8">
        <v>3.08</v>
      </c>
      <c r="I49" s="12">
        <v>0</v>
      </c>
    </row>
    <row r="50" spans="2:9" ht="15" customHeight="1" x14ac:dyDescent="0.2">
      <c r="B50" t="s">
        <v>163</v>
      </c>
      <c r="C50" s="12">
        <v>13</v>
      </c>
      <c r="D50" s="8">
        <v>3.78</v>
      </c>
      <c r="E50" s="12">
        <v>13</v>
      </c>
      <c r="F50" s="8">
        <v>6.13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195</v>
      </c>
      <c r="C51" s="12">
        <v>12</v>
      </c>
      <c r="D51" s="8">
        <v>3.49</v>
      </c>
      <c r="E51" s="12">
        <v>11</v>
      </c>
      <c r="F51" s="8">
        <v>5.19</v>
      </c>
      <c r="G51" s="12">
        <v>1</v>
      </c>
      <c r="H51" s="8">
        <v>0.77</v>
      </c>
      <c r="I51" s="12">
        <v>0</v>
      </c>
    </row>
    <row r="52" spans="2:9" ht="15" customHeight="1" x14ac:dyDescent="0.2">
      <c r="B52" t="s">
        <v>167</v>
      </c>
      <c r="C52" s="12">
        <v>11</v>
      </c>
      <c r="D52" s="8">
        <v>3.2</v>
      </c>
      <c r="E52" s="12">
        <v>8</v>
      </c>
      <c r="F52" s="8">
        <v>3.77</v>
      </c>
      <c r="G52" s="12">
        <v>3</v>
      </c>
      <c r="H52" s="8">
        <v>2.31</v>
      </c>
      <c r="I52" s="12">
        <v>0</v>
      </c>
    </row>
    <row r="53" spans="2:9" ht="15" customHeight="1" x14ac:dyDescent="0.2">
      <c r="B53" t="s">
        <v>202</v>
      </c>
      <c r="C53" s="12">
        <v>10</v>
      </c>
      <c r="D53" s="8">
        <v>2.91</v>
      </c>
      <c r="E53" s="12">
        <v>8</v>
      </c>
      <c r="F53" s="8">
        <v>3.77</v>
      </c>
      <c r="G53" s="12">
        <v>2</v>
      </c>
      <c r="H53" s="8">
        <v>1.54</v>
      </c>
      <c r="I53" s="12">
        <v>0</v>
      </c>
    </row>
    <row r="54" spans="2:9" ht="15" customHeight="1" x14ac:dyDescent="0.2">
      <c r="B54" t="s">
        <v>166</v>
      </c>
      <c r="C54" s="12">
        <v>10</v>
      </c>
      <c r="D54" s="8">
        <v>2.91</v>
      </c>
      <c r="E54" s="12">
        <v>8</v>
      </c>
      <c r="F54" s="8">
        <v>3.77</v>
      </c>
      <c r="G54" s="12">
        <v>2</v>
      </c>
      <c r="H54" s="8">
        <v>1.54</v>
      </c>
      <c r="I54" s="12">
        <v>0</v>
      </c>
    </row>
    <row r="55" spans="2:9" ht="15" customHeight="1" x14ac:dyDescent="0.2">
      <c r="B55" t="s">
        <v>156</v>
      </c>
      <c r="C55" s="12">
        <v>9</v>
      </c>
      <c r="D55" s="8">
        <v>2.62</v>
      </c>
      <c r="E55" s="12">
        <v>5</v>
      </c>
      <c r="F55" s="8">
        <v>2.36</v>
      </c>
      <c r="G55" s="12">
        <v>4</v>
      </c>
      <c r="H55" s="8">
        <v>3.08</v>
      </c>
      <c r="I55" s="12">
        <v>0</v>
      </c>
    </row>
    <row r="56" spans="2:9" ht="15" customHeight="1" x14ac:dyDescent="0.2">
      <c r="B56" t="s">
        <v>154</v>
      </c>
      <c r="C56" s="12">
        <v>8</v>
      </c>
      <c r="D56" s="8">
        <v>2.33</v>
      </c>
      <c r="E56" s="12">
        <v>6</v>
      </c>
      <c r="F56" s="8">
        <v>2.83</v>
      </c>
      <c r="G56" s="12">
        <v>2</v>
      </c>
      <c r="H56" s="8">
        <v>1.54</v>
      </c>
      <c r="I56" s="12">
        <v>0</v>
      </c>
    </row>
    <row r="57" spans="2:9" ht="15" customHeight="1" x14ac:dyDescent="0.2">
      <c r="B57" t="s">
        <v>153</v>
      </c>
      <c r="C57" s="12">
        <v>7</v>
      </c>
      <c r="D57" s="8">
        <v>2.0299999999999998</v>
      </c>
      <c r="E57" s="12">
        <v>2</v>
      </c>
      <c r="F57" s="8">
        <v>0.94</v>
      </c>
      <c r="G57" s="12">
        <v>5</v>
      </c>
      <c r="H57" s="8">
        <v>3.85</v>
      </c>
      <c r="I57" s="12">
        <v>0</v>
      </c>
    </row>
    <row r="58" spans="2:9" ht="15" customHeight="1" x14ac:dyDescent="0.2">
      <c r="B58" t="s">
        <v>168</v>
      </c>
      <c r="C58" s="12">
        <v>7</v>
      </c>
      <c r="D58" s="8">
        <v>2.0299999999999998</v>
      </c>
      <c r="E58" s="12">
        <v>0</v>
      </c>
      <c r="F58" s="8">
        <v>0</v>
      </c>
      <c r="G58" s="12">
        <v>7</v>
      </c>
      <c r="H58" s="8">
        <v>5.38</v>
      </c>
      <c r="I58" s="12">
        <v>0</v>
      </c>
    </row>
    <row r="59" spans="2:9" ht="15" customHeight="1" x14ac:dyDescent="0.2">
      <c r="B59" t="s">
        <v>192</v>
      </c>
      <c r="C59" s="12">
        <v>7</v>
      </c>
      <c r="D59" s="8">
        <v>2.0299999999999998</v>
      </c>
      <c r="E59" s="12">
        <v>7</v>
      </c>
      <c r="F59" s="8">
        <v>3.3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150</v>
      </c>
      <c r="C60" s="12">
        <v>6</v>
      </c>
      <c r="D60" s="8">
        <v>1.74</v>
      </c>
      <c r="E60" s="12">
        <v>2</v>
      </c>
      <c r="F60" s="8">
        <v>0.94</v>
      </c>
      <c r="G60" s="12">
        <v>4</v>
      </c>
      <c r="H60" s="8">
        <v>3.08</v>
      </c>
      <c r="I60" s="12">
        <v>0</v>
      </c>
    </row>
    <row r="61" spans="2:9" ht="15" customHeight="1" x14ac:dyDescent="0.2">
      <c r="B61" t="s">
        <v>174</v>
      </c>
      <c r="C61" s="12">
        <v>6</v>
      </c>
      <c r="D61" s="8">
        <v>1.74</v>
      </c>
      <c r="E61" s="12">
        <v>2</v>
      </c>
      <c r="F61" s="8">
        <v>0.94</v>
      </c>
      <c r="G61" s="12">
        <v>4</v>
      </c>
      <c r="H61" s="8">
        <v>3.08</v>
      </c>
      <c r="I61" s="12">
        <v>0</v>
      </c>
    </row>
    <row r="62" spans="2:9" ht="15" customHeight="1" x14ac:dyDescent="0.2">
      <c r="B62" t="s">
        <v>155</v>
      </c>
      <c r="C62" s="12">
        <v>6</v>
      </c>
      <c r="D62" s="8">
        <v>1.74</v>
      </c>
      <c r="E62" s="12">
        <v>3</v>
      </c>
      <c r="F62" s="8">
        <v>1.42</v>
      </c>
      <c r="G62" s="12">
        <v>3</v>
      </c>
      <c r="H62" s="8">
        <v>2.31</v>
      </c>
      <c r="I62" s="12">
        <v>0</v>
      </c>
    </row>
    <row r="63" spans="2:9" ht="15" customHeight="1" x14ac:dyDescent="0.2">
      <c r="B63" t="s">
        <v>158</v>
      </c>
      <c r="C63" s="12">
        <v>6</v>
      </c>
      <c r="D63" s="8">
        <v>1.74</v>
      </c>
      <c r="E63" s="12">
        <v>4</v>
      </c>
      <c r="F63" s="8">
        <v>1.89</v>
      </c>
      <c r="G63" s="12">
        <v>2</v>
      </c>
      <c r="H63" s="8">
        <v>1.54</v>
      </c>
      <c r="I63" s="12">
        <v>0</v>
      </c>
    </row>
    <row r="64" spans="2:9" ht="15" customHeight="1" x14ac:dyDescent="0.2">
      <c r="B64" t="s">
        <v>162</v>
      </c>
      <c r="C64" s="12">
        <v>6</v>
      </c>
      <c r="D64" s="8">
        <v>1.74</v>
      </c>
      <c r="E64" s="12">
        <v>6</v>
      </c>
      <c r="F64" s="8">
        <v>2.83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148</v>
      </c>
      <c r="C65" s="12">
        <v>5</v>
      </c>
      <c r="D65" s="8">
        <v>1.45</v>
      </c>
      <c r="E65" s="12">
        <v>0</v>
      </c>
      <c r="F65" s="8">
        <v>0</v>
      </c>
      <c r="G65" s="12">
        <v>5</v>
      </c>
      <c r="H65" s="8">
        <v>3.85</v>
      </c>
      <c r="I65" s="12">
        <v>0</v>
      </c>
    </row>
    <row r="66" spans="2:9" ht="15" customHeight="1" x14ac:dyDescent="0.2">
      <c r="B66" t="s">
        <v>151</v>
      </c>
      <c r="C66" s="12">
        <v>5</v>
      </c>
      <c r="D66" s="8">
        <v>1.45</v>
      </c>
      <c r="E66" s="12">
        <v>0</v>
      </c>
      <c r="F66" s="8">
        <v>0</v>
      </c>
      <c r="G66" s="12">
        <v>5</v>
      </c>
      <c r="H66" s="8">
        <v>3.85</v>
      </c>
      <c r="I66" s="12">
        <v>0</v>
      </c>
    </row>
    <row r="67" spans="2:9" ht="15" customHeight="1" x14ac:dyDescent="0.2">
      <c r="B67" t="s">
        <v>190</v>
      </c>
      <c r="C67" s="12">
        <v>5</v>
      </c>
      <c r="D67" s="8">
        <v>1.45</v>
      </c>
      <c r="E67" s="12">
        <v>3</v>
      </c>
      <c r="F67" s="8">
        <v>1.42</v>
      </c>
      <c r="G67" s="12">
        <v>2</v>
      </c>
      <c r="H67" s="8">
        <v>1.54</v>
      </c>
      <c r="I67" s="12">
        <v>0</v>
      </c>
    </row>
    <row r="68" spans="2:9" ht="15" customHeight="1" x14ac:dyDescent="0.2">
      <c r="B68" t="s">
        <v>227</v>
      </c>
      <c r="C68" s="12">
        <v>5</v>
      </c>
      <c r="D68" s="8">
        <v>1.45</v>
      </c>
      <c r="E68" s="12">
        <v>5</v>
      </c>
      <c r="F68" s="8">
        <v>2.36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169</v>
      </c>
      <c r="C69" s="12">
        <v>5</v>
      </c>
      <c r="D69" s="8">
        <v>1.45</v>
      </c>
      <c r="E69" s="12">
        <v>5</v>
      </c>
      <c r="F69" s="8">
        <v>2.36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170</v>
      </c>
      <c r="C70" s="12">
        <v>5</v>
      </c>
      <c r="D70" s="8">
        <v>1.45</v>
      </c>
      <c r="E70" s="12">
        <v>2</v>
      </c>
      <c r="F70" s="8">
        <v>0.94</v>
      </c>
      <c r="G70" s="12">
        <v>3</v>
      </c>
      <c r="H70" s="8">
        <v>2.31</v>
      </c>
      <c r="I70" s="12">
        <v>0</v>
      </c>
    </row>
    <row r="72" spans="2:9" ht="15" customHeight="1" x14ac:dyDescent="0.2">
      <c r="B72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F9A6-CCAB-42A1-B386-FD793A2DF180}">
  <sheetPr>
    <pageSetUpPr fitToPage="1"/>
  </sheetPr>
  <dimension ref="B2:I8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304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38</v>
      </c>
      <c r="D6" s="8">
        <v>28.79</v>
      </c>
      <c r="E6" s="12">
        <v>17</v>
      </c>
      <c r="F6" s="8">
        <v>21.79</v>
      </c>
      <c r="G6" s="12">
        <v>21</v>
      </c>
      <c r="H6" s="8">
        <v>41.18</v>
      </c>
      <c r="I6" s="12">
        <v>0</v>
      </c>
    </row>
    <row r="7" spans="2:9" ht="15" customHeight="1" x14ac:dyDescent="0.2">
      <c r="B7" t="s">
        <v>63</v>
      </c>
      <c r="C7" s="12">
        <v>12</v>
      </c>
      <c r="D7" s="8">
        <v>9.09</v>
      </c>
      <c r="E7" s="12">
        <v>6</v>
      </c>
      <c r="F7" s="8">
        <v>7.69</v>
      </c>
      <c r="G7" s="12">
        <v>6</v>
      </c>
      <c r="H7" s="8">
        <v>11.76</v>
      </c>
      <c r="I7" s="12">
        <v>0</v>
      </c>
    </row>
    <row r="8" spans="2:9" ht="15" customHeight="1" x14ac:dyDescent="0.2">
      <c r="B8" t="s">
        <v>64</v>
      </c>
      <c r="C8" s="12">
        <v>1</v>
      </c>
      <c r="D8" s="8">
        <v>0.76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66</v>
      </c>
      <c r="C10" s="12">
        <v>2</v>
      </c>
      <c r="D10" s="8">
        <v>1.52</v>
      </c>
      <c r="E10" s="12">
        <v>0</v>
      </c>
      <c r="F10" s="8">
        <v>0</v>
      </c>
      <c r="G10" s="12">
        <v>1</v>
      </c>
      <c r="H10" s="8">
        <v>1.96</v>
      </c>
      <c r="I10" s="12">
        <v>1</v>
      </c>
    </row>
    <row r="11" spans="2:9" ht="15" customHeight="1" x14ac:dyDescent="0.2">
      <c r="B11" t="s">
        <v>67</v>
      </c>
      <c r="C11" s="12">
        <v>30</v>
      </c>
      <c r="D11" s="8">
        <v>22.73</v>
      </c>
      <c r="E11" s="12">
        <v>20</v>
      </c>
      <c r="F11" s="8">
        <v>25.64</v>
      </c>
      <c r="G11" s="12">
        <v>10</v>
      </c>
      <c r="H11" s="8">
        <v>19.61</v>
      </c>
      <c r="I11" s="12">
        <v>0</v>
      </c>
    </row>
    <row r="12" spans="2:9" ht="15" customHeight="1" x14ac:dyDescent="0.2">
      <c r="B12" t="s">
        <v>68</v>
      </c>
      <c r="C12" s="12">
        <v>1</v>
      </c>
      <c r="D12" s="8">
        <v>0.76</v>
      </c>
      <c r="E12" s="12">
        <v>0</v>
      </c>
      <c r="F12" s="8">
        <v>0</v>
      </c>
      <c r="G12" s="12">
        <v>1</v>
      </c>
      <c r="H12" s="8">
        <v>1.96</v>
      </c>
      <c r="I12" s="12">
        <v>0</v>
      </c>
    </row>
    <row r="13" spans="2:9" ht="15" customHeight="1" x14ac:dyDescent="0.2">
      <c r="B13" t="s">
        <v>69</v>
      </c>
      <c r="C13" s="12">
        <v>2</v>
      </c>
      <c r="D13" s="8">
        <v>1.52</v>
      </c>
      <c r="E13" s="12">
        <v>0</v>
      </c>
      <c r="F13" s="8">
        <v>0</v>
      </c>
      <c r="G13" s="12">
        <v>2</v>
      </c>
      <c r="H13" s="8">
        <v>3.92</v>
      </c>
      <c r="I13" s="12">
        <v>0</v>
      </c>
    </row>
    <row r="14" spans="2:9" ht="15" customHeight="1" x14ac:dyDescent="0.2">
      <c r="B14" t="s">
        <v>70</v>
      </c>
      <c r="C14" s="12">
        <v>3</v>
      </c>
      <c r="D14" s="8">
        <v>2.27</v>
      </c>
      <c r="E14" s="12">
        <v>0</v>
      </c>
      <c r="F14" s="8">
        <v>0</v>
      </c>
      <c r="G14" s="12">
        <v>3</v>
      </c>
      <c r="H14" s="8">
        <v>5.88</v>
      </c>
      <c r="I14" s="12">
        <v>0</v>
      </c>
    </row>
    <row r="15" spans="2:9" ht="15" customHeight="1" x14ac:dyDescent="0.2">
      <c r="B15" t="s">
        <v>71</v>
      </c>
      <c r="C15" s="12">
        <v>11</v>
      </c>
      <c r="D15" s="8">
        <v>8.33</v>
      </c>
      <c r="E15" s="12">
        <v>11</v>
      </c>
      <c r="F15" s="8">
        <v>14.1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72</v>
      </c>
      <c r="C16" s="12">
        <v>20</v>
      </c>
      <c r="D16" s="8">
        <v>15.15</v>
      </c>
      <c r="E16" s="12">
        <v>17</v>
      </c>
      <c r="F16" s="8">
        <v>21.79</v>
      </c>
      <c r="G16" s="12">
        <v>3</v>
      </c>
      <c r="H16" s="8">
        <v>5.88</v>
      </c>
      <c r="I16" s="12">
        <v>0</v>
      </c>
    </row>
    <row r="17" spans="2:9" ht="15" customHeight="1" x14ac:dyDescent="0.2">
      <c r="B17" t="s">
        <v>73</v>
      </c>
      <c r="C17" s="12">
        <v>5</v>
      </c>
      <c r="D17" s="8">
        <v>3.79</v>
      </c>
      <c r="E17" s="12">
        <v>2</v>
      </c>
      <c r="F17" s="8">
        <v>2.56</v>
      </c>
      <c r="G17" s="12">
        <v>2</v>
      </c>
      <c r="H17" s="8">
        <v>3.92</v>
      </c>
      <c r="I17" s="12">
        <v>0</v>
      </c>
    </row>
    <row r="18" spans="2:9" ht="15" customHeight="1" x14ac:dyDescent="0.2">
      <c r="B18" t="s">
        <v>74</v>
      </c>
      <c r="C18" s="12">
        <v>1</v>
      </c>
      <c r="D18" s="8">
        <v>0.76</v>
      </c>
      <c r="E18" s="12">
        <v>0</v>
      </c>
      <c r="F18" s="8">
        <v>0</v>
      </c>
      <c r="G18" s="12">
        <v>1</v>
      </c>
      <c r="H18" s="8">
        <v>1.96</v>
      </c>
      <c r="I18" s="12">
        <v>0</v>
      </c>
    </row>
    <row r="19" spans="2:9" ht="15" customHeight="1" x14ac:dyDescent="0.2">
      <c r="B19" t="s">
        <v>75</v>
      </c>
      <c r="C19" s="12">
        <v>6</v>
      </c>
      <c r="D19" s="8">
        <v>4.55</v>
      </c>
      <c r="E19" s="12">
        <v>5</v>
      </c>
      <c r="F19" s="8">
        <v>6.41</v>
      </c>
      <c r="G19" s="12">
        <v>1</v>
      </c>
      <c r="H19" s="8">
        <v>1.96</v>
      </c>
      <c r="I19" s="12">
        <v>0</v>
      </c>
    </row>
    <row r="20" spans="2:9" ht="15" customHeight="1" x14ac:dyDescent="0.2">
      <c r="B20" s="9" t="s">
        <v>248</v>
      </c>
      <c r="C20" s="12">
        <f>SUM(LTBL_12422[総数／事業所数])</f>
        <v>132</v>
      </c>
      <c r="E20" s="12">
        <f>SUBTOTAL(109,LTBL_12422[個人／事業所数])</f>
        <v>78</v>
      </c>
      <c r="G20" s="12">
        <f>SUBTOTAL(109,LTBL_12422[法人／事業所数])</f>
        <v>51</v>
      </c>
      <c r="I20" s="12">
        <f>SUBTOTAL(109,LTBL_12422[法人以外の団体／事業所数])</f>
        <v>1</v>
      </c>
    </row>
    <row r="21" spans="2:9" ht="15" customHeight="1" x14ac:dyDescent="0.2">
      <c r="E21" s="11">
        <f>LTBL_12422[[#Totals],[個人／事業所数]]/LTBL_12422[[#Totals],[総数／事業所数]]</f>
        <v>0.59090909090909094</v>
      </c>
      <c r="G21" s="11">
        <f>LTBL_12422[[#Totals],[法人／事業所数]]/LTBL_12422[[#Totals],[総数／事業所数]]</f>
        <v>0.38636363636363635</v>
      </c>
      <c r="I21" s="11">
        <f>LTBL_12422[[#Totals],[法人以外の団体／事業所数]]/LTBL_12422[[#Totals],[総数／事業所数]]</f>
        <v>7.575757575757576E-3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17</v>
      </c>
      <c r="D24" s="8">
        <v>12.88</v>
      </c>
      <c r="E24" s="12">
        <v>16</v>
      </c>
      <c r="F24" s="8">
        <v>20.51</v>
      </c>
      <c r="G24" s="12">
        <v>1</v>
      </c>
      <c r="H24" s="8">
        <v>1.96</v>
      </c>
      <c r="I24" s="12">
        <v>0</v>
      </c>
    </row>
    <row r="25" spans="2:9" ht="15" customHeight="1" x14ac:dyDescent="0.2">
      <c r="B25" t="s">
        <v>84</v>
      </c>
      <c r="C25" s="12">
        <v>16</v>
      </c>
      <c r="D25" s="8">
        <v>12.12</v>
      </c>
      <c r="E25" s="12">
        <v>5</v>
      </c>
      <c r="F25" s="8">
        <v>6.41</v>
      </c>
      <c r="G25" s="12">
        <v>11</v>
      </c>
      <c r="H25" s="8">
        <v>21.57</v>
      </c>
      <c r="I25" s="12">
        <v>0</v>
      </c>
    </row>
    <row r="26" spans="2:9" ht="15" customHeight="1" x14ac:dyDescent="0.2">
      <c r="B26" t="s">
        <v>90</v>
      </c>
      <c r="C26" s="12">
        <v>13</v>
      </c>
      <c r="D26" s="8">
        <v>9.85</v>
      </c>
      <c r="E26" s="12">
        <v>10</v>
      </c>
      <c r="F26" s="8">
        <v>12.82</v>
      </c>
      <c r="G26" s="12">
        <v>3</v>
      </c>
      <c r="H26" s="8">
        <v>5.88</v>
      </c>
      <c r="I26" s="12">
        <v>0</v>
      </c>
    </row>
    <row r="27" spans="2:9" ht="15" customHeight="1" x14ac:dyDescent="0.2">
      <c r="B27" t="s">
        <v>85</v>
      </c>
      <c r="C27" s="12">
        <v>11</v>
      </c>
      <c r="D27" s="8">
        <v>8.33</v>
      </c>
      <c r="E27" s="12">
        <v>7</v>
      </c>
      <c r="F27" s="8">
        <v>8.9700000000000006</v>
      </c>
      <c r="G27" s="12">
        <v>4</v>
      </c>
      <c r="H27" s="8">
        <v>7.84</v>
      </c>
      <c r="I27" s="12">
        <v>0</v>
      </c>
    </row>
    <row r="28" spans="2:9" ht="15" customHeight="1" x14ac:dyDescent="0.2">
      <c r="B28" t="s">
        <v>86</v>
      </c>
      <c r="C28" s="12">
        <v>11</v>
      </c>
      <c r="D28" s="8">
        <v>8.33</v>
      </c>
      <c r="E28" s="12">
        <v>5</v>
      </c>
      <c r="F28" s="8">
        <v>6.41</v>
      </c>
      <c r="G28" s="12">
        <v>6</v>
      </c>
      <c r="H28" s="8">
        <v>11.76</v>
      </c>
      <c r="I28" s="12">
        <v>0</v>
      </c>
    </row>
    <row r="29" spans="2:9" ht="15" customHeight="1" x14ac:dyDescent="0.2">
      <c r="B29" t="s">
        <v>97</v>
      </c>
      <c r="C29" s="12">
        <v>11</v>
      </c>
      <c r="D29" s="8">
        <v>8.33</v>
      </c>
      <c r="E29" s="12">
        <v>11</v>
      </c>
      <c r="F29" s="8">
        <v>14.1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92</v>
      </c>
      <c r="C30" s="12">
        <v>7</v>
      </c>
      <c r="D30" s="8">
        <v>5.3</v>
      </c>
      <c r="E30" s="12">
        <v>6</v>
      </c>
      <c r="F30" s="8">
        <v>7.69</v>
      </c>
      <c r="G30" s="12">
        <v>1</v>
      </c>
      <c r="H30" s="8">
        <v>1.96</v>
      </c>
      <c r="I30" s="12">
        <v>0</v>
      </c>
    </row>
    <row r="31" spans="2:9" ht="15" customHeight="1" x14ac:dyDescent="0.2">
      <c r="B31" t="s">
        <v>100</v>
      </c>
      <c r="C31" s="12">
        <v>5</v>
      </c>
      <c r="D31" s="8">
        <v>3.79</v>
      </c>
      <c r="E31" s="12">
        <v>2</v>
      </c>
      <c r="F31" s="8">
        <v>2.56</v>
      </c>
      <c r="G31" s="12">
        <v>2</v>
      </c>
      <c r="H31" s="8">
        <v>3.92</v>
      </c>
      <c r="I31" s="12">
        <v>0</v>
      </c>
    </row>
    <row r="32" spans="2:9" ht="15" customHeight="1" x14ac:dyDescent="0.2">
      <c r="B32" t="s">
        <v>103</v>
      </c>
      <c r="C32" s="12">
        <v>5</v>
      </c>
      <c r="D32" s="8">
        <v>3.79</v>
      </c>
      <c r="E32" s="12">
        <v>5</v>
      </c>
      <c r="F32" s="8">
        <v>6.41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109</v>
      </c>
      <c r="C33" s="12">
        <v>3</v>
      </c>
      <c r="D33" s="8">
        <v>2.27</v>
      </c>
      <c r="E33" s="12">
        <v>0</v>
      </c>
      <c r="F33" s="8">
        <v>0</v>
      </c>
      <c r="G33" s="12">
        <v>3</v>
      </c>
      <c r="H33" s="8">
        <v>5.88</v>
      </c>
      <c r="I33" s="12">
        <v>0</v>
      </c>
    </row>
    <row r="34" spans="2:9" ht="15" customHeight="1" x14ac:dyDescent="0.2">
      <c r="B34" t="s">
        <v>126</v>
      </c>
      <c r="C34" s="12">
        <v>2</v>
      </c>
      <c r="D34" s="8">
        <v>1.52</v>
      </c>
      <c r="E34" s="12">
        <v>0</v>
      </c>
      <c r="F34" s="8">
        <v>0</v>
      </c>
      <c r="G34" s="12">
        <v>2</v>
      </c>
      <c r="H34" s="8">
        <v>3.92</v>
      </c>
      <c r="I34" s="12">
        <v>0</v>
      </c>
    </row>
    <row r="35" spans="2:9" ht="15" customHeight="1" x14ac:dyDescent="0.2">
      <c r="B35" t="s">
        <v>106</v>
      </c>
      <c r="C35" s="12">
        <v>2</v>
      </c>
      <c r="D35" s="8">
        <v>1.52</v>
      </c>
      <c r="E35" s="12">
        <v>0</v>
      </c>
      <c r="F35" s="8">
        <v>0</v>
      </c>
      <c r="G35" s="12">
        <v>2</v>
      </c>
      <c r="H35" s="8">
        <v>3.92</v>
      </c>
      <c r="I35" s="12">
        <v>0</v>
      </c>
    </row>
    <row r="36" spans="2:9" ht="15" customHeight="1" x14ac:dyDescent="0.2">
      <c r="B36" t="s">
        <v>117</v>
      </c>
      <c r="C36" s="12">
        <v>2</v>
      </c>
      <c r="D36" s="8">
        <v>1.52</v>
      </c>
      <c r="E36" s="12">
        <v>1</v>
      </c>
      <c r="F36" s="8">
        <v>1.28</v>
      </c>
      <c r="G36" s="12">
        <v>1</v>
      </c>
      <c r="H36" s="8">
        <v>1.96</v>
      </c>
      <c r="I36" s="12">
        <v>0</v>
      </c>
    </row>
    <row r="37" spans="2:9" ht="15" customHeight="1" x14ac:dyDescent="0.2">
      <c r="B37" t="s">
        <v>87</v>
      </c>
      <c r="C37" s="12">
        <v>2</v>
      </c>
      <c r="D37" s="8">
        <v>1.52</v>
      </c>
      <c r="E37" s="12">
        <v>1</v>
      </c>
      <c r="F37" s="8">
        <v>1.28</v>
      </c>
      <c r="G37" s="12">
        <v>1</v>
      </c>
      <c r="H37" s="8">
        <v>1.96</v>
      </c>
      <c r="I37" s="12">
        <v>0</v>
      </c>
    </row>
    <row r="38" spans="2:9" ht="15" customHeight="1" x14ac:dyDescent="0.2">
      <c r="B38" t="s">
        <v>91</v>
      </c>
      <c r="C38" s="12">
        <v>2</v>
      </c>
      <c r="D38" s="8">
        <v>1.52</v>
      </c>
      <c r="E38" s="12">
        <v>2</v>
      </c>
      <c r="F38" s="8">
        <v>2.56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94</v>
      </c>
      <c r="C39" s="12">
        <v>2</v>
      </c>
      <c r="D39" s="8">
        <v>1.52</v>
      </c>
      <c r="E39" s="12">
        <v>0</v>
      </c>
      <c r="F39" s="8">
        <v>0</v>
      </c>
      <c r="G39" s="12">
        <v>2</v>
      </c>
      <c r="H39" s="8">
        <v>3.92</v>
      </c>
      <c r="I39" s="12">
        <v>0</v>
      </c>
    </row>
    <row r="40" spans="2:9" ht="15" customHeight="1" x14ac:dyDescent="0.2">
      <c r="B40" t="s">
        <v>96</v>
      </c>
      <c r="C40" s="12">
        <v>2</v>
      </c>
      <c r="D40" s="8">
        <v>1.52</v>
      </c>
      <c r="E40" s="12">
        <v>0</v>
      </c>
      <c r="F40" s="8">
        <v>0</v>
      </c>
      <c r="G40" s="12">
        <v>2</v>
      </c>
      <c r="H40" s="8">
        <v>3.92</v>
      </c>
      <c r="I40" s="12">
        <v>0</v>
      </c>
    </row>
    <row r="41" spans="2:9" ht="15" customHeight="1" x14ac:dyDescent="0.2">
      <c r="B41" t="s">
        <v>99</v>
      </c>
      <c r="C41" s="12">
        <v>2</v>
      </c>
      <c r="D41" s="8">
        <v>1.52</v>
      </c>
      <c r="E41" s="12">
        <v>0</v>
      </c>
      <c r="F41" s="8">
        <v>0</v>
      </c>
      <c r="G41" s="12">
        <v>2</v>
      </c>
      <c r="H41" s="8">
        <v>3.92</v>
      </c>
      <c r="I41" s="12">
        <v>0</v>
      </c>
    </row>
    <row r="42" spans="2:9" ht="15" customHeight="1" x14ac:dyDescent="0.2">
      <c r="B42" t="s">
        <v>110</v>
      </c>
      <c r="C42" s="12">
        <v>1</v>
      </c>
      <c r="D42" s="8">
        <v>0.76</v>
      </c>
      <c r="E42" s="12">
        <v>1</v>
      </c>
      <c r="F42" s="8">
        <v>1.28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135</v>
      </c>
      <c r="C43" s="12">
        <v>1</v>
      </c>
      <c r="D43" s="8">
        <v>0.76</v>
      </c>
      <c r="E43" s="12">
        <v>1</v>
      </c>
      <c r="F43" s="8">
        <v>1.28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124</v>
      </c>
      <c r="C44" s="12">
        <v>1</v>
      </c>
      <c r="D44" s="8">
        <v>0.76</v>
      </c>
      <c r="E44" s="12">
        <v>0</v>
      </c>
      <c r="F44" s="8">
        <v>0</v>
      </c>
      <c r="G44" s="12">
        <v>1</v>
      </c>
      <c r="H44" s="8">
        <v>1.96</v>
      </c>
      <c r="I44" s="12">
        <v>0</v>
      </c>
    </row>
    <row r="45" spans="2:9" ht="15" customHeight="1" x14ac:dyDescent="0.2">
      <c r="B45" t="s">
        <v>136</v>
      </c>
      <c r="C45" s="12">
        <v>1</v>
      </c>
      <c r="D45" s="8">
        <v>0.76</v>
      </c>
      <c r="E45" s="12">
        <v>1</v>
      </c>
      <c r="F45" s="8">
        <v>1.28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137</v>
      </c>
      <c r="C46" s="12">
        <v>1</v>
      </c>
      <c r="D46" s="8">
        <v>0.76</v>
      </c>
      <c r="E46" s="12">
        <v>1</v>
      </c>
      <c r="F46" s="8">
        <v>1.28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119</v>
      </c>
      <c r="C47" s="12">
        <v>1</v>
      </c>
      <c r="D47" s="8">
        <v>0.76</v>
      </c>
      <c r="E47" s="12">
        <v>1</v>
      </c>
      <c r="F47" s="8">
        <v>1.28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138</v>
      </c>
      <c r="C48" s="12">
        <v>1</v>
      </c>
      <c r="D48" s="8">
        <v>0.76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114</v>
      </c>
      <c r="C49" s="12">
        <v>1</v>
      </c>
      <c r="D49" s="8">
        <v>0.76</v>
      </c>
      <c r="E49" s="12">
        <v>0</v>
      </c>
      <c r="F49" s="8">
        <v>0</v>
      </c>
      <c r="G49" s="12">
        <v>1</v>
      </c>
      <c r="H49" s="8">
        <v>1.96</v>
      </c>
      <c r="I49" s="12">
        <v>0</v>
      </c>
    </row>
    <row r="50" spans="2:9" ht="15" customHeight="1" x14ac:dyDescent="0.2">
      <c r="B50" t="s">
        <v>115</v>
      </c>
      <c r="C50" s="12">
        <v>1</v>
      </c>
      <c r="D50" s="8">
        <v>0.76</v>
      </c>
      <c r="E50" s="12">
        <v>0</v>
      </c>
      <c r="F50" s="8">
        <v>0</v>
      </c>
      <c r="G50" s="12">
        <v>0</v>
      </c>
      <c r="H50" s="8">
        <v>0</v>
      </c>
      <c r="I50" s="12">
        <v>1</v>
      </c>
    </row>
    <row r="51" spans="2:9" ht="15" customHeight="1" x14ac:dyDescent="0.2">
      <c r="B51" t="s">
        <v>88</v>
      </c>
      <c r="C51" s="12">
        <v>1</v>
      </c>
      <c r="D51" s="8">
        <v>0.76</v>
      </c>
      <c r="E51" s="12">
        <v>0</v>
      </c>
      <c r="F51" s="8">
        <v>0</v>
      </c>
      <c r="G51" s="12">
        <v>1</v>
      </c>
      <c r="H51" s="8">
        <v>1.96</v>
      </c>
      <c r="I51" s="12">
        <v>0</v>
      </c>
    </row>
    <row r="52" spans="2:9" ht="15" customHeight="1" x14ac:dyDescent="0.2">
      <c r="B52" t="s">
        <v>89</v>
      </c>
      <c r="C52" s="12">
        <v>1</v>
      </c>
      <c r="D52" s="8">
        <v>0.76</v>
      </c>
      <c r="E52" s="12">
        <v>1</v>
      </c>
      <c r="F52" s="8">
        <v>1.28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120</v>
      </c>
      <c r="C53" s="12">
        <v>1</v>
      </c>
      <c r="D53" s="8">
        <v>0.76</v>
      </c>
      <c r="E53" s="12">
        <v>0</v>
      </c>
      <c r="F53" s="8">
        <v>0</v>
      </c>
      <c r="G53" s="12">
        <v>1</v>
      </c>
      <c r="H53" s="8">
        <v>1.96</v>
      </c>
      <c r="I53" s="12">
        <v>0</v>
      </c>
    </row>
    <row r="54" spans="2:9" ht="15" customHeight="1" x14ac:dyDescent="0.2">
      <c r="B54" t="s">
        <v>113</v>
      </c>
      <c r="C54" s="12">
        <v>1</v>
      </c>
      <c r="D54" s="8">
        <v>0.76</v>
      </c>
      <c r="E54" s="12">
        <v>0</v>
      </c>
      <c r="F54" s="8">
        <v>0</v>
      </c>
      <c r="G54" s="12">
        <v>1</v>
      </c>
      <c r="H54" s="8">
        <v>1.96</v>
      </c>
      <c r="I54" s="12">
        <v>0</v>
      </c>
    </row>
    <row r="55" spans="2:9" ht="15" customHeight="1" x14ac:dyDescent="0.2">
      <c r="B55" t="s">
        <v>139</v>
      </c>
      <c r="C55" s="12">
        <v>1</v>
      </c>
      <c r="D55" s="8">
        <v>0.76</v>
      </c>
      <c r="E55" s="12">
        <v>0</v>
      </c>
      <c r="F55" s="8">
        <v>0</v>
      </c>
      <c r="G55" s="12">
        <v>1</v>
      </c>
      <c r="H55" s="8">
        <v>1.96</v>
      </c>
      <c r="I55" s="12">
        <v>0</v>
      </c>
    </row>
    <row r="56" spans="2:9" ht="15" customHeight="1" x14ac:dyDescent="0.2">
      <c r="B56" t="s">
        <v>112</v>
      </c>
      <c r="C56" s="12">
        <v>1</v>
      </c>
      <c r="D56" s="8">
        <v>0.76</v>
      </c>
      <c r="E56" s="12">
        <v>1</v>
      </c>
      <c r="F56" s="8">
        <v>1.28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102</v>
      </c>
      <c r="C57" s="12">
        <v>1</v>
      </c>
      <c r="D57" s="8">
        <v>0.76</v>
      </c>
      <c r="E57" s="12">
        <v>0</v>
      </c>
      <c r="F57" s="8">
        <v>0</v>
      </c>
      <c r="G57" s="12">
        <v>1</v>
      </c>
      <c r="H57" s="8">
        <v>1.96</v>
      </c>
      <c r="I57" s="12">
        <v>0</v>
      </c>
    </row>
    <row r="58" spans="2:9" ht="15" customHeight="1" x14ac:dyDescent="0.2">
      <c r="B58" t="s">
        <v>130</v>
      </c>
      <c r="C58" s="12">
        <v>1</v>
      </c>
      <c r="D58" s="8">
        <v>0.76</v>
      </c>
      <c r="E58" s="12">
        <v>0</v>
      </c>
      <c r="F58" s="8">
        <v>0</v>
      </c>
      <c r="G58" s="12">
        <v>1</v>
      </c>
      <c r="H58" s="8">
        <v>1.96</v>
      </c>
      <c r="I58" s="12">
        <v>0</v>
      </c>
    </row>
    <row r="61" spans="2:9" ht="33" customHeight="1" x14ac:dyDescent="0.2">
      <c r="B61" t="s">
        <v>250</v>
      </c>
      <c r="C61" s="10" t="s">
        <v>77</v>
      </c>
      <c r="D61" s="10" t="s">
        <v>78</v>
      </c>
      <c r="E61" s="10" t="s">
        <v>79</v>
      </c>
      <c r="F61" s="10" t="s">
        <v>80</v>
      </c>
      <c r="G61" s="10" t="s">
        <v>81</v>
      </c>
      <c r="H61" s="10" t="s">
        <v>82</v>
      </c>
      <c r="I61" s="10" t="s">
        <v>83</v>
      </c>
    </row>
    <row r="62" spans="2:9" ht="15" customHeight="1" x14ac:dyDescent="0.2">
      <c r="B62" t="s">
        <v>164</v>
      </c>
      <c r="C62" s="12">
        <v>9</v>
      </c>
      <c r="D62" s="8">
        <v>6.82</v>
      </c>
      <c r="E62" s="12">
        <v>9</v>
      </c>
      <c r="F62" s="8">
        <v>11.54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150</v>
      </c>
      <c r="C63" s="12">
        <v>8</v>
      </c>
      <c r="D63" s="8">
        <v>6.06</v>
      </c>
      <c r="E63" s="12">
        <v>5</v>
      </c>
      <c r="F63" s="8">
        <v>6.41</v>
      </c>
      <c r="G63" s="12">
        <v>3</v>
      </c>
      <c r="H63" s="8">
        <v>5.88</v>
      </c>
      <c r="I63" s="12">
        <v>0</v>
      </c>
    </row>
    <row r="64" spans="2:9" ht="15" customHeight="1" x14ac:dyDescent="0.2">
      <c r="B64" t="s">
        <v>163</v>
      </c>
      <c r="C64" s="12">
        <v>7</v>
      </c>
      <c r="D64" s="8">
        <v>5.3</v>
      </c>
      <c r="E64" s="12">
        <v>7</v>
      </c>
      <c r="F64" s="8">
        <v>8.9700000000000006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153</v>
      </c>
      <c r="C65" s="12">
        <v>6</v>
      </c>
      <c r="D65" s="8">
        <v>4.55</v>
      </c>
      <c r="E65" s="12">
        <v>4</v>
      </c>
      <c r="F65" s="8">
        <v>5.13</v>
      </c>
      <c r="G65" s="12">
        <v>2</v>
      </c>
      <c r="H65" s="8">
        <v>3.92</v>
      </c>
      <c r="I65" s="12">
        <v>0</v>
      </c>
    </row>
    <row r="66" spans="2:9" ht="15" customHeight="1" x14ac:dyDescent="0.2">
      <c r="B66" t="s">
        <v>148</v>
      </c>
      <c r="C66" s="12">
        <v>5</v>
      </c>
      <c r="D66" s="8">
        <v>3.79</v>
      </c>
      <c r="E66" s="12">
        <v>0</v>
      </c>
      <c r="F66" s="8">
        <v>0</v>
      </c>
      <c r="G66" s="12">
        <v>5</v>
      </c>
      <c r="H66" s="8">
        <v>9.8000000000000007</v>
      </c>
      <c r="I66" s="12">
        <v>0</v>
      </c>
    </row>
    <row r="67" spans="2:9" ht="15" customHeight="1" x14ac:dyDescent="0.2">
      <c r="B67" t="s">
        <v>162</v>
      </c>
      <c r="C67" s="12">
        <v>5</v>
      </c>
      <c r="D67" s="8">
        <v>3.79</v>
      </c>
      <c r="E67" s="12">
        <v>5</v>
      </c>
      <c r="F67" s="8">
        <v>6.41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167</v>
      </c>
      <c r="C68" s="12">
        <v>5</v>
      </c>
      <c r="D68" s="8">
        <v>3.79</v>
      </c>
      <c r="E68" s="12">
        <v>5</v>
      </c>
      <c r="F68" s="8">
        <v>6.41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197</v>
      </c>
      <c r="C69" s="12">
        <v>4</v>
      </c>
      <c r="D69" s="8">
        <v>3.03</v>
      </c>
      <c r="E69" s="12">
        <v>3</v>
      </c>
      <c r="F69" s="8">
        <v>3.85</v>
      </c>
      <c r="G69" s="12">
        <v>1</v>
      </c>
      <c r="H69" s="8">
        <v>1.96</v>
      </c>
      <c r="I69" s="12">
        <v>0</v>
      </c>
    </row>
    <row r="70" spans="2:9" ht="15" customHeight="1" x14ac:dyDescent="0.2">
      <c r="B70" t="s">
        <v>175</v>
      </c>
      <c r="C70" s="12">
        <v>4</v>
      </c>
      <c r="D70" s="8">
        <v>3.03</v>
      </c>
      <c r="E70" s="12">
        <v>3</v>
      </c>
      <c r="F70" s="8">
        <v>3.85</v>
      </c>
      <c r="G70" s="12">
        <v>1</v>
      </c>
      <c r="H70" s="8">
        <v>1.96</v>
      </c>
      <c r="I70" s="12">
        <v>0</v>
      </c>
    </row>
    <row r="71" spans="2:9" ht="15" customHeight="1" x14ac:dyDescent="0.2">
      <c r="B71" t="s">
        <v>152</v>
      </c>
      <c r="C71" s="12">
        <v>3</v>
      </c>
      <c r="D71" s="8">
        <v>2.27</v>
      </c>
      <c r="E71" s="12">
        <v>1</v>
      </c>
      <c r="F71" s="8">
        <v>1.28</v>
      </c>
      <c r="G71" s="12">
        <v>2</v>
      </c>
      <c r="H71" s="8">
        <v>3.92</v>
      </c>
      <c r="I71" s="12">
        <v>0</v>
      </c>
    </row>
    <row r="72" spans="2:9" ht="15" customHeight="1" x14ac:dyDescent="0.2">
      <c r="B72" t="s">
        <v>183</v>
      </c>
      <c r="C72" s="12">
        <v>3</v>
      </c>
      <c r="D72" s="8">
        <v>2.27</v>
      </c>
      <c r="E72" s="12">
        <v>0</v>
      </c>
      <c r="F72" s="8">
        <v>0</v>
      </c>
      <c r="G72" s="12">
        <v>3</v>
      </c>
      <c r="H72" s="8">
        <v>5.88</v>
      </c>
      <c r="I72" s="12">
        <v>0</v>
      </c>
    </row>
    <row r="73" spans="2:9" ht="15" customHeight="1" x14ac:dyDescent="0.2">
      <c r="B73" t="s">
        <v>230</v>
      </c>
      <c r="C73" s="12">
        <v>3</v>
      </c>
      <c r="D73" s="8">
        <v>2.27</v>
      </c>
      <c r="E73" s="12">
        <v>2</v>
      </c>
      <c r="F73" s="8">
        <v>2.56</v>
      </c>
      <c r="G73" s="12">
        <v>1</v>
      </c>
      <c r="H73" s="8">
        <v>1.96</v>
      </c>
      <c r="I73" s="12">
        <v>0</v>
      </c>
    </row>
    <row r="74" spans="2:9" ht="15" customHeight="1" x14ac:dyDescent="0.2">
      <c r="B74" t="s">
        <v>154</v>
      </c>
      <c r="C74" s="12">
        <v>3</v>
      </c>
      <c r="D74" s="8">
        <v>2.27</v>
      </c>
      <c r="E74" s="12">
        <v>1</v>
      </c>
      <c r="F74" s="8">
        <v>1.28</v>
      </c>
      <c r="G74" s="12">
        <v>2</v>
      </c>
      <c r="H74" s="8">
        <v>3.92</v>
      </c>
      <c r="I74" s="12">
        <v>0</v>
      </c>
    </row>
    <row r="75" spans="2:9" ht="15" customHeight="1" x14ac:dyDescent="0.2">
      <c r="B75" t="s">
        <v>219</v>
      </c>
      <c r="C75" s="12">
        <v>3</v>
      </c>
      <c r="D75" s="8">
        <v>2.27</v>
      </c>
      <c r="E75" s="12">
        <v>3</v>
      </c>
      <c r="F75" s="8">
        <v>3.85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165</v>
      </c>
      <c r="C76" s="12">
        <v>3</v>
      </c>
      <c r="D76" s="8">
        <v>2.27</v>
      </c>
      <c r="E76" s="12">
        <v>1</v>
      </c>
      <c r="F76" s="8">
        <v>1.28</v>
      </c>
      <c r="G76" s="12">
        <v>2</v>
      </c>
      <c r="H76" s="8">
        <v>3.92</v>
      </c>
      <c r="I76" s="12">
        <v>0</v>
      </c>
    </row>
    <row r="77" spans="2:9" ht="15" customHeight="1" x14ac:dyDescent="0.2">
      <c r="B77" t="s">
        <v>149</v>
      </c>
      <c r="C77" s="12">
        <v>2</v>
      </c>
      <c r="D77" s="8">
        <v>1.52</v>
      </c>
      <c r="E77" s="12">
        <v>0</v>
      </c>
      <c r="F77" s="8">
        <v>0</v>
      </c>
      <c r="G77" s="12">
        <v>2</v>
      </c>
      <c r="H77" s="8">
        <v>3.92</v>
      </c>
      <c r="I77" s="12">
        <v>0</v>
      </c>
    </row>
    <row r="78" spans="2:9" ht="15" customHeight="1" x14ac:dyDescent="0.2">
      <c r="B78" t="s">
        <v>174</v>
      </c>
      <c r="C78" s="12">
        <v>2</v>
      </c>
      <c r="D78" s="8">
        <v>1.52</v>
      </c>
      <c r="E78" s="12">
        <v>0</v>
      </c>
      <c r="F78" s="8">
        <v>0</v>
      </c>
      <c r="G78" s="12">
        <v>2</v>
      </c>
      <c r="H78" s="8">
        <v>3.92</v>
      </c>
      <c r="I78" s="12">
        <v>0</v>
      </c>
    </row>
    <row r="79" spans="2:9" ht="15" customHeight="1" x14ac:dyDescent="0.2">
      <c r="B79" t="s">
        <v>228</v>
      </c>
      <c r="C79" s="12">
        <v>2</v>
      </c>
      <c r="D79" s="8">
        <v>1.52</v>
      </c>
      <c r="E79" s="12">
        <v>0</v>
      </c>
      <c r="F79" s="8">
        <v>0</v>
      </c>
      <c r="G79" s="12">
        <v>2</v>
      </c>
      <c r="H79" s="8">
        <v>3.92</v>
      </c>
      <c r="I79" s="12">
        <v>0</v>
      </c>
    </row>
    <row r="80" spans="2:9" ht="15" customHeight="1" x14ac:dyDescent="0.2">
      <c r="B80" t="s">
        <v>229</v>
      </c>
      <c r="C80" s="12">
        <v>2</v>
      </c>
      <c r="D80" s="8">
        <v>1.52</v>
      </c>
      <c r="E80" s="12">
        <v>1</v>
      </c>
      <c r="F80" s="8">
        <v>1.28</v>
      </c>
      <c r="G80" s="12">
        <v>1</v>
      </c>
      <c r="H80" s="8">
        <v>1.96</v>
      </c>
      <c r="I80" s="12">
        <v>0</v>
      </c>
    </row>
    <row r="81" spans="2:9" ht="15" customHeight="1" x14ac:dyDescent="0.2">
      <c r="B81" t="s">
        <v>189</v>
      </c>
      <c r="C81" s="12">
        <v>2</v>
      </c>
      <c r="D81" s="8">
        <v>1.52</v>
      </c>
      <c r="E81" s="12">
        <v>2</v>
      </c>
      <c r="F81" s="8">
        <v>2.56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190</v>
      </c>
      <c r="C82" s="12">
        <v>2</v>
      </c>
      <c r="D82" s="8">
        <v>1.52</v>
      </c>
      <c r="E82" s="12">
        <v>2</v>
      </c>
      <c r="F82" s="8">
        <v>2.56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156</v>
      </c>
      <c r="C83" s="12">
        <v>2</v>
      </c>
      <c r="D83" s="8">
        <v>1.52</v>
      </c>
      <c r="E83" s="12">
        <v>2</v>
      </c>
      <c r="F83" s="8">
        <v>2.56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160</v>
      </c>
      <c r="C84" s="12">
        <v>2</v>
      </c>
      <c r="D84" s="8">
        <v>1.52</v>
      </c>
      <c r="E84" s="12">
        <v>0</v>
      </c>
      <c r="F84" s="8">
        <v>0</v>
      </c>
      <c r="G84" s="12">
        <v>2</v>
      </c>
      <c r="H84" s="8">
        <v>3.92</v>
      </c>
      <c r="I84" s="12">
        <v>0</v>
      </c>
    </row>
    <row r="86" spans="2:9" ht="15" customHeight="1" x14ac:dyDescent="0.2">
      <c r="B86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CCBE8-35B4-4290-B3CD-0BF9E6402094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305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60</v>
      </c>
      <c r="D6" s="8">
        <v>25.64</v>
      </c>
      <c r="E6" s="12">
        <v>21</v>
      </c>
      <c r="F6" s="8">
        <v>16.03</v>
      </c>
      <c r="G6" s="12">
        <v>39</v>
      </c>
      <c r="H6" s="8">
        <v>38.24</v>
      </c>
      <c r="I6" s="12">
        <v>0</v>
      </c>
    </row>
    <row r="7" spans="2:9" ht="15" customHeight="1" x14ac:dyDescent="0.2">
      <c r="B7" t="s">
        <v>63</v>
      </c>
      <c r="C7" s="12">
        <v>13</v>
      </c>
      <c r="D7" s="8">
        <v>5.56</v>
      </c>
      <c r="E7" s="12">
        <v>2</v>
      </c>
      <c r="F7" s="8">
        <v>1.53</v>
      </c>
      <c r="G7" s="12">
        <v>11</v>
      </c>
      <c r="H7" s="8">
        <v>10.78</v>
      </c>
      <c r="I7" s="12">
        <v>0</v>
      </c>
    </row>
    <row r="8" spans="2:9" ht="15" customHeight="1" x14ac:dyDescent="0.2">
      <c r="B8" t="s">
        <v>64</v>
      </c>
      <c r="C8" s="12">
        <v>2</v>
      </c>
      <c r="D8" s="8">
        <v>0.85</v>
      </c>
      <c r="E8" s="12">
        <v>0</v>
      </c>
      <c r="F8" s="8">
        <v>0</v>
      </c>
      <c r="G8" s="12">
        <v>2</v>
      </c>
      <c r="H8" s="8">
        <v>1.96</v>
      </c>
      <c r="I8" s="12">
        <v>0</v>
      </c>
    </row>
    <row r="9" spans="2:9" ht="15" customHeight="1" x14ac:dyDescent="0.2">
      <c r="B9" t="s">
        <v>65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66</v>
      </c>
      <c r="C10" s="12">
        <v>2</v>
      </c>
      <c r="D10" s="8">
        <v>0.85</v>
      </c>
      <c r="E10" s="12">
        <v>1</v>
      </c>
      <c r="F10" s="8">
        <v>0.76</v>
      </c>
      <c r="G10" s="12">
        <v>1</v>
      </c>
      <c r="H10" s="8">
        <v>0.98</v>
      </c>
      <c r="I10" s="12">
        <v>0</v>
      </c>
    </row>
    <row r="11" spans="2:9" ht="15" customHeight="1" x14ac:dyDescent="0.2">
      <c r="B11" t="s">
        <v>67</v>
      </c>
      <c r="C11" s="12">
        <v>39</v>
      </c>
      <c r="D11" s="8">
        <v>16.670000000000002</v>
      </c>
      <c r="E11" s="12">
        <v>22</v>
      </c>
      <c r="F11" s="8">
        <v>16.79</v>
      </c>
      <c r="G11" s="12">
        <v>16</v>
      </c>
      <c r="H11" s="8">
        <v>15.69</v>
      </c>
      <c r="I11" s="12">
        <v>1</v>
      </c>
    </row>
    <row r="12" spans="2:9" ht="15" customHeight="1" x14ac:dyDescent="0.2">
      <c r="B12" t="s">
        <v>68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69</v>
      </c>
      <c r="C13" s="12">
        <v>11</v>
      </c>
      <c r="D13" s="8">
        <v>4.7</v>
      </c>
      <c r="E13" s="12">
        <v>2</v>
      </c>
      <c r="F13" s="8">
        <v>1.53</v>
      </c>
      <c r="G13" s="12">
        <v>9</v>
      </c>
      <c r="H13" s="8">
        <v>8.82</v>
      </c>
      <c r="I13" s="12">
        <v>0</v>
      </c>
    </row>
    <row r="14" spans="2:9" ht="15" customHeight="1" x14ac:dyDescent="0.2">
      <c r="B14" t="s">
        <v>70</v>
      </c>
      <c r="C14" s="12">
        <v>6</v>
      </c>
      <c r="D14" s="8">
        <v>2.56</v>
      </c>
      <c r="E14" s="12">
        <v>3</v>
      </c>
      <c r="F14" s="8">
        <v>2.29</v>
      </c>
      <c r="G14" s="12">
        <v>3</v>
      </c>
      <c r="H14" s="8">
        <v>2.94</v>
      </c>
      <c r="I14" s="12">
        <v>0</v>
      </c>
    </row>
    <row r="15" spans="2:9" ht="15" customHeight="1" x14ac:dyDescent="0.2">
      <c r="B15" t="s">
        <v>71</v>
      </c>
      <c r="C15" s="12">
        <v>34</v>
      </c>
      <c r="D15" s="8">
        <v>14.53</v>
      </c>
      <c r="E15" s="12">
        <v>28</v>
      </c>
      <c r="F15" s="8">
        <v>21.37</v>
      </c>
      <c r="G15" s="12">
        <v>6</v>
      </c>
      <c r="H15" s="8">
        <v>5.88</v>
      </c>
      <c r="I15" s="12">
        <v>0</v>
      </c>
    </row>
    <row r="16" spans="2:9" ht="15" customHeight="1" x14ac:dyDescent="0.2">
      <c r="B16" t="s">
        <v>72</v>
      </c>
      <c r="C16" s="12">
        <v>28</v>
      </c>
      <c r="D16" s="8">
        <v>11.97</v>
      </c>
      <c r="E16" s="12">
        <v>23</v>
      </c>
      <c r="F16" s="8">
        <v>17.559999999999999</v>
      </c>
      <c r="G16" s="12">
        <v>5</v>
      </c>
      <c r="H16" s="8">
        <v>4.9000000000000004</v>
      </c>
      <c r="I16" s="12">
        <v>0</v>
      </c>
    </row>
    <row r="17" spans="2:9" ht="15" customHeight="1" x14ac:dyDescent="0.2">
      <c r="B17" t="s">
        <v>73</v>
      </c>
      <c r="C17" s="12">
        <v>9</v>
      </c>
      <c r="D17" s="8">
        <v>3.85</v>
      </c>
      <c r="E17" s="12">
        <v>7</v>
      </c>
      <c r="F17" s="8">
        <v>5.34</v>
      </c>
      <c r="G17" s="12">
        <v>2</v>
      </c>
      <c r="H17" s="8">
        <v>1.96</v>
      </c>
      <c r="I17" s="12">
        <v>0</v>
      </c>
    </row>
    <row r="18" spans="2:9" ht="15" customHeight="1" x14ac:dyDescent="0.2">
      <c r="B18" t="s">
        <v>74</v>
      </c>
      <c r="C18" s="12">
        <v>10</v>
      </c>
      <c r="D18" s="8">
        <v>4.2699999999999996</v>
      </c>
      <c r="E18" s="12">
        <v>6</v>
      </c>
      <c r="F18" s="8">
        <v>4.58</v>
      </c>
      <c r="G18" s="12">
        <v>4</v>
      </c>
      <c r="H18" s="8">
        <v>3.92</v>
      </c>
      <c r="I18" s="12">
        <v>0</v>
      </c>
    </row>
    <row r="19" spans="2:9" ht="15" customHeight="1" x14ac:dyDescent="0.2">
      <c r="B19" t="s">
        <v>75</v>
      </c>
      <c r="C19" s="12">
        <v>20</v>
      </c>
      <c r="D19" s="8">
        <v>8.5500000000000007</v>
      </c>
      <c r="E19" s="12">
        <v>16</v>
      </c>
      <c r="F19" s="8">
        <v>12.21</v>
      </c>
      <c r="G19" s="12">
        <v>4</v>
      </c>
      <c r="H19" s="8">
        <v>3.92</v>
      </c>
      <c r="I19" s="12">
        <v>0</v>
      </c>
    </row>
    <row r="20" spans="2:9" ht="15" customHeight="1" x14ac:dyDescent="0.2">
      <c r="B20" s="9" t="s">
        <v>248</v>
      </c>
      <c r="C20" s="12">
        <f>SUM(LTBL_12423[総数／事業所数])</f>
        <v>234</v>
      </c>
      <c r="E20" s="12">
        <f>SUBTOTAL(109,LTBL_12423[個人／事業所数])</f>
        <v>131</v>
      </c>
      <c r="G20" s="12">
        <f>SUBTOTAL(109,LTBL_12423[法人／事業所数])</f>
        <v>102</v>
      </c>
      <c r="I20" s="12">
        <f>SUBTOTAL(109,LTBL_12423[法人以外の団体／事業所数])</f>
        <v>1</v>
      </c>
    </row>
    <row r="21" spans="2:9" ht="15" customHeight="1" x14ac:dyDescent="0.2">
      <c r="E21" s="11">
        <f>LTBL_12423[[#Totals],[個人／事業所数]]/LTBL_12423[[#Totals],[総数／事業所数]]</f>
        <v>0.55982905982905984</v>
      </c>
      <c r="G21" s="11">
        <f>LTBL_12423[[#Totals],[法人／事業所数]]/LTBL_12423[[#Totals],[総数／事業所数]]</f>
        <v>0.4358974358974359</v>
      </c>
      <c r="I21" s="11">
        <f>LTBL_12423[[#Totals],[法人以外の団体／事業所数]]/LTBL_12423[[#Totals],[総数／事業所数]]</f>
        <v>4.2735042735042739E-3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84</v>
      </c>
      <c r="C24" s="12">
        <v>28</v>
      </c>
      <c r="D24" s="8">
        <v>11.97</v>
      </c>
      <c r="E24" s="12">
        <v>8</v>
      </c>
      <c r="F24" s="8">
        <v>6.11</v>
      </c>
      <c r="G24" s="12">
        <v>20</v>
      </c>
      <c r="H24" s="8">
        <v>19.61</v>
      </c>
      <c r="I24" s="12">
        <v>0</v>
      </c>
    </row>
    <row r="25" spans="2:9" ht="15" customHeight="1" x14ac:dyDescent="0.2">
      <c r="B25" t="s">
        <v>97</v>
      </c>
      <c r="C25" s="12">
        <v>25</v>
      </c>
      <c r="D25" s="8">
        <v>10.68</v>
      </c>
      <c r="E25" s="12">
        <v>24</v>
      </c>
      <c r="F25" s="8">
        <v>18.32</v>
      </c>
      <c r="G25" s="12">
        <v>1</v>
      </c>
      <c r="H25" s="8">
        <v>0.98</v>
      </c>
      <c r="I25" s="12">
        <v>0</v>
      </c>
    </row>
    <row r="26" spans="2:9" ht="15" customHeight="1" x14ac:dyDescent="0.2">
      <c r="B26" t="s">
        <v>98</v>
      </c>
      <c r="C26" s="12">
        <v>25</v>
      </c>
      <c r="D26" s="8">
        <v>10.68</v>
      </c>
      <c r="E26" s="12">
        <v>22</v>
      </c>
      <c r="F26" s="8">
        <v>16.79</v>
      </c>
      <c r="G26" s="12">
        <v>3</v>
      </c>
      <c r="H26" s="8">
        <v>2.94</v>
      </c>
      <c r="I26" s="12">
        <v>0</v>
      </c>
    </row>
    <row r="27" spans="2:9" ht="15" customHeight="1" x14ac:dyDescent="0.2">
      <c r="B27" t="s">
        <v>85</v>
      </c>
      <c r="C27" s="12">
        <v>18</v>
      </c>
      <c r="D27" s="8">
        <v>7.69</v>
      </c>
      <c r="E27" s="12">
        <v>10</v>
      </c>
      <c r="F27" s="8">
        <v>7.63</v>
      </c>
      <c r="G27" s="12">
        <v>8</v>
      </c>
      <c r="H27" s="8">
        <v>7.84</v>
      </c>
      <c r="I27" s="12">
        <v>0</v>
      </c>
    </row>
    <row r="28" spans="2:9" ht="15" customHeight="1" x14ac:dyDescent="0.2">
      <c r="B28" t="s">
        <v>103</v>
      </c>
      <c r="C28" s="12">
        <v>17</v>
      </c>
      <c r="D28" s="8">
        <v>7.26</v>
      </c>
      <c r="E28" s="12">
        <v>15</v>
      </c>
      <c r="F28" s="8">
        <v>11.45</v>
      </c>
      <c r="G28" s="12">
        <v>2</v>
      </c>
      <c r="H28" s="8">
        <v>1.96</v>
      </c>
      <c r="I28" s="12">
        <v>0</v>
      </c>
    </row>
    <row r="29" spans="2:9" ht="15" customHeight="1" x14ac:dyDescent="0.2">
      <c r="B29" t="s">
        <v>86</v>
      </c>
      <c r="C29" s="12">
        <v>14</v>
      </c>
      <c r="D29" s="8">
        <v>5.98</v>
      </c>
      <c r="E29" s="12">
        <v>3</v>
      </c>
      <c r="F29" s="8">
        <v>2.29</v>
      </c>
      <c r="G29" s="12">
        <v>11</v>
      </c>
      <c r="H29" s="8">
        <v>10.78</v>
      </c>
      <c r="I29" s="12">
        <v>0</v>
      </c>
    </row>
    <row r="30" spans="2:9" ht="15" customHeight="1" x14ac:dyDescent="0.2">
      <c r="B30" t="s">
        <v>92</v>
      </c>
      <c r="C30" s="12">
        <v>11</v>
      </c>
      <c r="D30" s="8">
        <v>4.7</v>
      </c>
      <c r="E30" s="12">
        <v>6</v>
      </c>
      <c r="F30" s="8">
        <v>4.58</v>
      </c>
      <c r="G30" s="12">
        <v>5</v>
      </c>
      <c r="H30" s="8">
        <v>4.9000000000000004</v>
      </c>
      <c r="I30" s="12">
        <v>0</v>
      </c>
    </row>
    <row r="31" spans="2:9" ht="15" customHeight="1" x14ac:dyDescent="0.2">
      <c r="B31" t="s">
        <v>90</v>
      </c>
      <c r="C31" s="12">
        <v>9</v>
      </c>
      <c r="D31" s="8">
        <v>3.85</v>
      </c>
      <c r="E31" s="12">
        <v>6</v>
      </c>
      <c r="F31" s="8">
        <v>4.58</v>
      </c>
      <c r="G31" s="12">
        <v>2</v>
      </c>
      <c r="H31" s="8">
        <v>1.96</v>
      </c>
      <c r="I31" s="12">
        <v>1</v>
      </c>
    </row>
    <row r="32" spans="2:9" ht="15" customHeight="1" x14ac:dyDescent="0.2">
      <c r="B32" t="s">
        <v>100</v>
      </c>
      <c r="C32" s="12">
        <v>9</v>
      </c>
      <c r="D32" s="8">
        <v>3.85</v>
      </c>
      <c r="E32" s="12">
        <v>7</v>
      </c>
      <c r="F32" s="8">
        <v>5.34</v>
      </c>
      <c r="G32" s="12">
        <v>2</v>
      </c>
      <c r="H32" s="8">
        <v>1.96</v>
      </c>
      <c r="I32" s="12">
        <v>0</v>
      </c>
    </row>
    <row r="33" spans="2:9" ht="15" customHeight="1" x14ac:dyDescent="0.2">
      <c r="B33" t="s">
        <v>91</v>
      </c>
      <c r="C33" s="12">
        <v>8</v>
      </c>
      <c r="D33" s="8">
        <v>3.42</v>
      </c>
      <c r="E33" s="12">
        <v>5</v>
      </c>
      <c r="F33" s="8">
        <v>3.82</v>
      </c>
      <c r="G33" s="12">
        <v>3</v>
      </c>
      <c r="H33" s="8">
        <v>2.94</v>
      </c>
      <c r="I33" s="12">
        <v>0</v>
      </c>
    </row>
    <row r="34" spans="2:9" ht="15" customHeight="1" x14ac:dyDescent="0.2">
      <c r="B34" t="s">
        <v>101</v>
      </c>
      <c r="C34" s="12">
        <v>8</v>
      </c>
      <c r="D34" s="8">
        <v>3.42</v>
      </c>
      <c r="E34" s="12">
        <v>6</v>
      </c>
      <c r="F34" s="8">
        <v>4.58</v>
      </c>
      <c r="G34" s="12">
        <v>2</v>
      </c>
      <c r="H34" s="8">
        <v>1.96</v>
      </c>
      <c r="I34" s="12">
        <v>0</v>
      </c>
    </row>
    <row r="35" spans="2:9" ht="15" customHeight="1" x14ac:dyDescent="0.2">
      <c r="B35" t="s">
        <v>93</v>
      </c>
      <c r="C35" s="12">
        <v>7</v>
      </c>
      <c r="D35" s="8">
        <v>2.99</v>
      </c>
      <c r="E35" s="12">
        <v>0</v>
      </c>
      <c r="F35" s="8">
        <v>0</v>
      </c>
      <c r="G35" s="12">
        <v>7</v>
      </c>
      <c r="H35" s="8">
        <v>6.86</v>
      </c>
      <c r="I35" s="12">
        <v>0</v>
      </c>
    </row>
    <row r="36" spans="2:9" ht="15" customHeight="1" x14ac:dyDescent="0.2">
      <c r="B36" t="s">
        <v>111</v>
      </c>
      <c r="C36" s="12">
        <v>6</v>
      </c>
      <c r="D36" s="8">
        <v>2.56</v>
      </c>
      <c r="E36" s="12">
        <v>3</v>
      </c>
      <c r="F36" s="8">
        <v>2.29</v>
      </c>
      <c r="G36" s="12">
        <v>3</v>
      </c>
      <c r="H36" s="8">
        <v>2.94</v>
      </c>
      <c r="I36" s="12">
        <v>0</v>
      </c>
    </row>
    <row r="37" spans="2:9" ht="15" customHeight="1" x14ac:dyDescent="0.2">
      <c r="B37" t="s">
        <v>89</v>
      </c>
      <c r="C37" s="12">
        <v>5</v>
      </c>
      <c r="D37" s="8">
        <v>2.14</v>
      </c>
      <c r="E37" s="12">
        <v>5</v>
      </c>
      <c r="F37" s="8">
        <v>3.82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96</v>
      </c>
      <c r="C38" s="12">
        <v>4</v>
      </c>
      <c r="D38" s="8">
        <v>1.71</v>
      </c>
      <c r="E38" s="12">
        <v>1</v>
      </c>
      <c r="F38" s="8">
        <v>0.76</v>
      </c>
      <c r="G38" s="12">
        <v>3</v>
      </c>
      <c r="H38" s="8">
        <v>2.94</v>
      </c>
      <c r="I38" s="12">
        <v>0</v>
      </c>
    </row>
    <row r="39" spans="2:9" ht="15" customHeight="1" x14ac:dyDescent="0.2">
      <c r="B39" t="s">
        <v>106</v>
      </c>
      <c r="C39" s="12">
        <v>3</v>
      </c>
      <c r="D39" s="8">
        <v>1.28</v>
      </c>
      <c r="E39" s="12">
        <v>0</v>
      </c>
      <c r="F39" s="8">
        <v>0</v>
      </c>
      <c r="G39" s="12">
        <v>3</v>
      </c>
      <c r="H39" s="8">
        <v>2.94</v>
      </c>
      <c r="I39" s="12">
        <v>0</v>
      </c>
    </row>
    <row r="40" spans="2:9" ht="15" customHeight="1" x14ac:dyDescent="0.2">
      <c r="B40" t="s">
        <v>88</v>
      </c>
      <c r="C40" s="12">
        <v>3</v>
      </c>
      <c r="D40" s="8">
        <v>1.28</v>
      </c>
      <c r="E40" s="12">
        <v>0</v>
      </c>
      <c r="F40" s="8">
        <v>0</v>
      </c>
      <c r="G40" s="12">
        <v>3</v>
      </c>
      <c r="H40" s="8">
        <v>2.94</v>
      </c>
      <c r="I40" s="12">
        <v>0</v>
      </c>
    </row>
    <row r="41" spans="2:9" ht="15" customHeight="1" x14ac:dyDescent="0.2">
      <c r="B41" t="s">
        <v>94</v>
      </c>
      <c r="C41" s="12">
        <v>3</v>
      </c>
      <c r="D41" s="8">
        <v>1.28</v>
      </c>
      <c r="E41" s="12">
        <v>1</v>
      </c>
      <c r="F41" s="8">
        <v>0.76</v>
      </c>
      <c r="G41" s="12">
        <v>2</v>
      </c>
      <c r="H41" s="8">
        <v>1.96</v>
      </c>
      <c r="I41" s="12">
        <v>0</v>
      </c>
    </row>
    <row r="42" spans="2:9" ht="15" customHeight="1" x14ac:dyDescent="0.2">
      <c r="B42" t="s">
        <v>107</v>
      </c>
      <c r="C42" s="12">
        <v>3</v>
      </c>
      <c r="D42" s="8">
        <v>1.28</v>
      </c>
      <c r="E42" s="12">
        <v>1</v>
      </c>
      <c r="F42" s="8">
        <v>0.76</v>
      </c>
      <c r="G42" s="12">
        <v>2</v>
      </c>
      <c r="H42" s="8">
        <v>1.96</v>
      </c>
      <c r="I42" s="12">
        <v>0</v>
      </c>
    </row>
    <row r="43" spans="2:9" ht="15" customHeight="1" x14ac:dyDescent="0.2">
      <c r="B43" t="s">
        <v>116</v>
      </c>
      <c r="C43" s="12">
        <v>2</v>
      </c>
      <c r="D43" s="8">
        <v>0.85</v>
      </c>
      <c r="E43" s="12">
        <v>0</v>
      </c>
      <c r="F43" s="8">
        <v>0</v>
      </c>
      <c r="G43" s="12">
        <v>2</v>
      </c>
      <c r="H43" s="8">
        <v>1.96</v>
      </c>
      <c r="I43" s="12">
        <v>0</v>
      </c>
    </row>
    <row r="44" spans="2:9" ht="15" customHeight="1" x14ac:dyDescent="0.2">
      <c r="B44" t="s">
        <v>140</v>
      </c>
      <c r="C44" s="12">
        <v>2</v>
      </c>
      <c r="D44" s="8">
        <v>0.85</v>
      </c>
      <c r="E44" s="12">
        <v>0</v>
      </c>
      <c r="F44" s="8">
        <v>0</v>
      </c>
      <c r="G44" s="12">
        <v>2</v>
      </c>
      <c r="H44" s="8">
        <v>1.96</v>
      </c>
      <c r="I44" s="12">
        <v>0</v>
      </c>
    </row>
    <row r="45" spans="2:9" ht="15" customHeight="1" x14ac:dyDescent="0.2">
      <c r="B45" t="s">
        <v>131</v>
      </c>
      <c r="C45" s="12">
        <v>2</v>
      </c>
      <c r="D45" s="8">
        <v>0.85</v>
      </c>
      <c r="E45" s="12">
        <v>0</v>
      </c>
      <c r="F45" s="8">
        <v>0</v>
      </c>
      <c r="G45" s="12">
        <v>2</v>
      </c>
      <c r="H45" s="8">
        <v>1.96</v>
      </c>
      <c r="I45" s="12">
        <v>0</v>
      </c>
    </row>
    <row r="46" spans="2:9" ht="15" customHeight="1" x14ac:dyDescent="0.2">
      <c r="B46" t="s">
        <v>95</v>
      </c>
      <c r="C46" s="12">
        <v>2</v>
      </c>
      <c r="D46" s="8">
        <v>0.85</v>
      </c>
      <c r="E46" s="12">
        <v>2</v>
      </c>
      <c r="F46" s="8">
        <v>1.53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99</v>
      </c>
      <c r="C47" s="12">
        <v>2</v>
      </c>
      <c r="D47" s="8">
        <v>0.85</v>
      </c>
      <c r="E47" s="12">
        <v>0</v>
      </c>
      <c r="F47" s="8">
        <v>0</v>
      </c>
      <c r="G47" s="12">
        <v>2</v>
      </c>
      <c r="H47" s="8">
        <v>1.96</v>
      </c>
      <c r="I47" s="12">
        <v>0</v>
      </c>
    </row>
    <row r="48" spans="2:9" ht="15" customHeight="1" x14ac:dyDescent="0.2">
      <c r="B48" t="s">
        <v>102</v>
      </c>
      <c r="C48" s="12">
        <v>2</v>
      </c>
      <c r="D48" s="8">
        <v>0.85</v>
      </c>
      <c r="E48" s="12">
        <v>0</v>
      </c>
      <c r="F48" s="8">
        <v>0</v>
      </c>
      <c r="G48" s="12">
        <v>2</v>
      </c>
      <c r="H48" s="8">
        <v>1.96</v>
      </c>
      <c r="I48" s="12">
        <v>0</v>
      </c>
    </row>
    <row r="51" spans="2:9" ht="33" customHeight="1" x14ac:dyDescent="0.2">
      <c r="B51" t="s">
        <v>250</v>
      </c>
      <c r="C51" s="10" t="s">
        <v>77</v>
      </c>
      <c r="D51" s="10" t="s">
        <v>78</v>
      </c>
      <c r="E51" s="10" t="s">
        <v>79</v>
      </c>
      <c r="F51" s="10" t="s">
        <v>80</v>
      </c>
      <c r="G51" s="10" t="s">
        <v>81</v>
      </c>
      <c r="H51" s="10" t="s">
        <v>82</v>
      </c>
      <c r="I51" s="10" t="s">
        <v>83</v>
      </c>
    </row>
    <row r="52" spans="2:9" ht="15" customHeight="1" x14ac:dyDescent="0.2">
      <c r="B52" t="s">
        <v>167</v>
      </c>
      <c r="C52" s="12">
        <v>17</v>
      </c>
      <c r="D52" s="8">
        <v>7.26</v>
      </c>
      <c r="E52" s="12">
        <v>15</v>
      </c>
      <c r="F52" s="8">
        <v>11.45</v>
      </c>
      <c r="G52" s="12">
        <v>2</v>
      </c>
      <c r="H52" s="8">
        <v>1.96</v>
      </c>
      <c r="I52" s="12">
        <v>0</v>
      </c>
    </row>
    <row r="53" spans="2:9" ht="15" customHeight="1" x14ac:dyDescent="0.2">
      <c r="B53" t="s">
        <v>148</v>
      </c>
      <c r="C53" s="12">
        <v>15</v>
      </c>
      <c r="D53" s="8">
        <v>6.41</v>
      </c>
      <c r="E53" s="12">
        <v>2</v>
      </c>
      <c r="F53" s="8">
        <v>1.53</v>
      </c>
      <c r="G53" s="12">
        <v>13</v>
      </c>
      <c r="H53" s="8">
        <v>12.75</v>
      </c>
      <c r="I53" s="12">
        <v>0</v>
      </c>
    </row>
    <row r="54" spans="2:9" ht="15" customHeight="1" x14ac:dyDescent="0.2">
      <c r="B54" t="s">
        <v>164</v>
      </c>
      <c r="C54" s="12">
        <v>14</v>
      </c>
      <c r="D54" s="8">
        <v>5.98</v>
      </c>
      <c r="E54" s="12">
        <v>13</v>
      </c>
      <c r="F54" s="8">
        <v>9.92</v>
      </c>
      <c r="G54" s="12">
        <v>1</v>
      </c>
      <c r="H54" s="8">
        <v>0.98</v>
      </c>
      <c r="I54" s="12">
        <v>0</v>
      </c>
    </row>
    <row r="55" spans="2:9" ht="15" customHeight="1" x14ac:dyDescent="0.2">
      <c r="B55" t="s">
        <v>162</v>
      </c>
      <c r="C55" s="12">
        <v>11</v>
      </c>
      <c r="D55" s="8">
        <v>4.7</v>
      </c>
      <c r="E55" s="12">
        <v>11</v>
      </c>
      <c r="F55" s="8">
        <v>8.4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152</v>
      </c>
      <c r="C56" s="12">
        <v>9</v>
      </c>
      <c r="D56" s="8">
        <v>3.85</v>
      </c>
      <c r="E56" s="12">
        <v>3</v>
      </c>
      <c r="F56" s="8">
        <v>2.29</v>
      </c>
      <c r="G56" s="12">
        <v>6</v>
      </c>
      <c r="H56" s="8">
        <v>5.88</v>
      </c>
      <c r="I56" s="12">
        <v>0</v>
      </c>
    </row>
    <row r="57" spans="2:9" ht="15" customHeight="1" x14ac:dyDescent="0.2">
      <c r="B57" t="s">
        <v>161</v>
      </c>
      <c r="C57" s="12">
        <v>8</v>
      </c>
      <c r="D57" s="8">
        <v>3.42</v>
      </c>
      <c r="E57" s="12">
        <v>8</v>
      </c>
      <c r="F57" s="8">
        <v>6.11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163</v>
      </c>
      <c r="C58" s="12">
        <v>8</v>
      </c>
      <c r="D58" s="8">
        <v>3.42</v>
      </c>
      <c r="E58" s="12">
        <v>8</v>
      </c>
      <c r="F58" s="8">
        <v>6.11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150</v>
      </c>
      <c r="C59" s="12">
        <v>7</v>
      </c>
      <c r="D59" s="8">
        <v>2.99</v>
      </c>
      <c r="E59" s="12">
        <v>4</v>
      </c>
      <c r="F59" s="8">
        <v>3.05</v>
      </c>
      <c r="G59" s="12">
        <v>3</v>
      </c>
      <c r="H59" s="8">
        <v>2.94</v>
      </c>
      <c r="I59" s="12">
        <v>0</v>
      </c>
    </row>
    <row r="60" spans="2:9" ht="15" customHeight="1" x14ac:dyDescent="0.2">
      <c r="B60" t="s">
        <v>151</v>
      </c>
      <c r="C60" s="12">
        <v>6</v>
      </c>
      <c r="D60" s="8">
        <v>2.56</v>
      </c>
      <c r="E60" s="12">
        <v>2</v>
      </c>
      <c r="F60" s="8">
        <v>1.53</v>
      </c>
      <c r="G60" s="12">
        <v>4</v>
      </c>
      <c r="H60" s="8">
        <v>3.92</v>
      </c>
      <c r="I60" s="12">
        <v>0</v>
      </c>
    </row>
    <row r="61" spans="2:9" ht="15" customHeight="1" x14ac:dyDescent="0.2">
      <c r="B61" t="s">
        <v>171</v>
      </c>
      <c r="C61" s="12">
        <v>6</v>
      </c>
      <c r="D61" s="8">
        <v>2.56</v>
      </c>
      <c r="E61" s="12">
        <v>0</v>
      </c>
      <c r="F61" s="8">
        <v>0</v>
      </c>
      <c r="G61" s="12">
        <v>6</v>
      </c>
      <c r="H61" s="8">
        <v>5.88</v>
      </c>
      <c r="I61" s="12">
        <v>0</v>
      </c>
    </row>
    <row r="62" spans="2:9" ht="15" customHeight="1" x14ac:dyDescent="0.2">
      <c r="B62" t="s">
        <v>194</v>
      </c>
      <c r="C62" s="12">
        <v>6</v>
      </c>
      <c r="D62" s="8">
        <v>2.56</v>
      </c>
      <c r="E62" s="12">
        <v>3</v>
      </c>
      <c r="F62" s="8">
        <v>2.29</v>
      </c>
      <c r="G62" s="12">
        <v>3</v>
      </c>
      <c r="H62" s="8">
        <v>2.94</v>
      </c>
      <c r="I62" s="12">
        <v>0</v>
      </c>
    </row>
    <row r="63" spans="2:9" ht="15" customHeight="1" x14ac:dyDescent="0.2">
      <c r="B63" t="s">
        <v>180</v>
      </c>
      <c r="C63" s="12">
        <v>6</v>
      </c>
      <c r="D63" s="8">
        <v>2.56</v>
      </c>
      <c r="E63" s="12">
        <v>4</v>
      </c>
      <c r="F63" s="8">
        <v>3.05</v>
      </c>
      <c r="G63" s="12">
        <v>2</v>
      </c>
      <c r="H63" s="8">
        <v>1.96</v>
      </c>
      <c r="I63" s="12">
        <v>0</v>
      </c>
    </row>
    <row r="64" spans="2:9" ht="15" customHeight="1" x14ac:dyDescent="0.2">
      <c r="B64" t="s">
        <v>196</v>
      </c>
      <c r="C64" s="12">
        <v>5</v>
      </c>
      <c r="D64" s="8">
        <v>2.14</v>
      </c>
      <c r="E64" s="12">
        <v>3</v>
      </c>
      <c r="F64" s="8">
        <v>2.29</v>
      </c>
      <c r="G64" s="12">
        <v>2</v>
      </c>
      <c r="H64" s="8">
        <v>1.96</v>
      </c>
      <c r="I64" s="12">
        <v>0</v>
      </c>
    </row>
    <row r="65" spans="2:9" ht="15" customHeight="1" x14ac:dyDescent="0.2">
      <c r="B65" t="s">
        <v>153</v>
      </c>
      <c r="C65" s="12">
        <v>5</v>
      </c>
      <c r="D65" s="8">
        <v>2.14</v>
      </c>
      <c r="E65" s="12">
        <v>0</v>
      </c>
      <c r="F65" s="8">
        <v>0</v>
      </c>
      <c r="G65" s="12">
        <v>5</v>
      </c>
      <c r="H65" s="8">
        <v>4.9000000000000004</v>
      </c>
      <c r="I65" s="12">
        <v>0</v>
      </c>
    </row>
    <row r="66" spans="2:9" ht="15" customHeight="1" x14ac:dyDescent="0.2">
      <c r="B66" t="s">
        <v>166</v>
      </c>
      <c r="C66" s="12">
        <v>5</v>
      </c>
      <c r="D66" s="8">
        <v>2.14</v>
      </c>
      <c r="E66" s="12">
        <v>4</v>
      </c>
      <c r="F66" s="8">
        <v>3.05</v>
      </c>
      <c r="G66" s="12">
        <v>1</v>
      </c>
      <c r="H66" s="8">
        <v>0.98</v>
      </c>
      <c r="I66" s="12">
        <v>0</v>
      </c>
    </row>
    <row r="67" spans="2:9" ht="15" customHeight="1" x14ac:dyDescent="0.2">
      <c r="B67" t="s">
        <v>197</v>
      </c>
      <c r="C67" s="12">
        <v>4</v>
      </c>
      <c r="D67" s="8">
        <v>1.71</v>
      </c>
      <c r="E67" s="12">
        <v>3</v>
      </c>
      <c r="F67" s="8">
        <v>2.29</v>
      </c>
      <c r="G67" s="12">
        <v>1</v>
      </c>
      <c r="H67" s="8">
        <v>0.98</v>
      </c>
      <c r="I67" s="12">
        <v>0</v>
      </c>
    </row>
    <row r="68" spans="2:9" ht="15" customHeight="1" x14ac:dyDescent="0.2">
      <c r="B68" t="s">
        <v>155</v>
      </c>
      <c r="C68" s="12">
        <v>4</v>
      </c>
      <c r="D68" s="8">
        <v>1.71</v>
      </c>
      <c r="E68" s="12">
        <v>2</v>
      </c>
      <c r="F68" s="8">
        <v>1.53</v>
      </c>
      <c r="G68" s="12">
        <v>2</v>
      </c>
      <c r="H68" s="8">
        <v>1.96</v>
      </c>
      <c r="I68" s="12">
        <v>0</v>
      </c>
    </row>
    <row r="69" spans="2:9" ht="15" customHeight="1" x14ac:dyDescent="0.2">
      <c r="B69" t="s">
        <v>204</v>
      </c>
      <c r="C69" s="12">
        <v>4</v>
      </c>
      <c r="D69" s="8">
        <v>1.71</v>
      </c>
      <c r="E69" s="12">
        <v>3</v>
      </c>
      <c r="F69" s="8">
        <v>2.29</v>
      </c>
      <c r="G69" s="12">
        <v>1</v>
      </c>
      <c r="H69" s="8">
        <v>0.98</v>
      </c>
      <c r="I69" s="12">
        <v>0</v>
      </c>
    </row>
    <row r="70" spans="2:9" ht="15" customHeight="1" x14ac:dyDescent="0.2">
      <c r="B70" t="s">
        <v>209</v>
      </c>
      <c r="C70" s="12">
        <v>3</v>
      </c>
      <c r="D70" s="8">
        <v>1.28</v>
      </c>
      <c r="E70" s="12">
        <v>2</v>
      </c>
      <c r="F70" s="8">
        <v>1.53</v>
      </c>
      <c r="G70" s="12">
        <v>1</v>
      </c>
      <c r="H70" s="8">
        <v>0.98</v>
      </c>
      <c r="I70" s="12">
        <v>0</v>
      </c>
    </row>
    <row r="71" spans="2:9" ht="15" customHeight="1" x14ac:dyDescent="0.2">
      <c r="B71" t="s">
        <v>176</v>
      </c>
      <c r="C71" s="12">
        <v>3</v>
      </c>
      <c r="D71" s="8">
        <v>1.28</v>
      </c>
      <c r="E71" s="12">
        <v>2</v>
      </c>
      <c r="F71" s="8">
        <v>1.53</v>
      </c>
      <c r="G71" s="12">
        <v>1</v>
      </c>
      <c r="H71" s="8">
        <v>0.98</v>
      </c>
      <c r="I71" s="12">
        <v>0</v>
      </c>
    </row>
    <row r="72" spans="2:9" ht="15" customHeight="1" x14ac:dyDescent="0.2">
      <c r="B72" t="s">
        <v>231</v>
      </c>
      <c r="C72" s="12">
        <v>3</v>
      </c>
      <c r="D72" s="8">
        <v>1.28</v>
      </c>
      <c r="E72" s="12">
        <v>0</v>
      </c>
      <c r="F72" s="8">
        <v>0</v>
      </c>
      <c r="G72" s="12">
        <v>3</v>
      </c>
      <c r="H72" s="8">
        <v>2.94</v>
      </c>
      <c r="I72" s="12">
        <v>0</v>
      </c>
    </row>
    <row r="73" spans="2:9" ht="15" customHeight="1" x14ac:dyDescent="0.2">
      <c r="B73" t="s">
        <v>177</v>
      </c>
      <c r="C73" s="12">
        <v>3</v>
      </c>
      <c r="D73" s="8">
        <v>1.28</v>
      </c>
      <c r="E73" s="12">
        <v>3</v>
      </c>
      <c r="F73" s="8">
        <v>2.29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232</v>
      </c>
      <c r="C74" s="12">
        <v>3</v>
      </c>
      <c r="D74" s="8">
        <v>1.28</v>
      </c>
      <c r="E74" s="12">
        <v>2</v>
      </c>
      <c r="F74" s="8">
        <v>1.53</v>
      </c>
      <c r="G74" s="12">
        <v>0</v>
      </c>
      <c r="H74" s="8">
        <v>0</v>
      </c>
      <c r="I74" s="12">
        <v>1</v>
      </c>
    </row>
    <row r="75" spans="2:9" ht="15" customHeight="1" x14ac:dyDescent="0.2">
      <c r="B75" t="s">
        <v>154</v>
      </c>
      <c r="C75" s="12">
        <v>3</v>
      </c>
      <c r="D75" s="8">
        <v>1.28</v>
      </c>
      <c r="E75" s="12">
        <v>2</v>
      </c>
      <c r="F75" s="8">
        <v>1.53</v>
      </c>
      <c r="G75" s="12">
        <v>1</v>
      </c>
      <c r="H75" s="8">
        <v>0.98</v>
      </c>
      <c r="I75" s="12">
        <v>0</v>
      </c>
    </row>
    <row r="76" spans="2:9" ht="15" customHeight="1" x14ac:dyDescent="0.2">
      <c r="B76" t="s">
        <v>165</v>
      </c>
      <c r="C76" s="12">
        <v>3</v>
      </c>
      <c r="D76" s="8">
        <v>1.28</v>
      </c>
      <c r="E76" s="12">
        <v>3</v>
      </c>
      <c r="F76" s="8">
        <v>2.29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170</v>
      </c>
      <c r="C77" s="12">
        <v>3</v>
      </c>
      <c r="D77" s="8">
        <v>1.28</v>
      </c>
      <c r="E77" s="12">
        <v>2</v>
      </c>
      <c r="F77" s="8">
        <v>1.53</v>
      </c>
      <c r="G77" s="12">
        <v>1</v>
      </c>
      <c r="H77" s="8">
        <v>0.98</v>
      </c>
      <c r="I77" s="12">
        <v>0</v>
      </c>
    </row>
    <row r="79" spans="2:9" ht="15" customHeight="1" x14ac:dyDescent="0.2">
      <c r="B79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45D36-6A0F-4D4F-83CA-160B4CB1969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252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2087</v>
      </c>
      <c r="D6" s="8">
        <v>15.77</v>
      </c>
      <c r="E6" s="12">
        <v>137</v>
      </c>
      <c r="F6" s="8">
        <v>3.15</v>
      </c>
      <c r="G6" s="12">
        <v>1950</v>
      </c>
      <c r="H6" s="8">
        <v>21.98</v>
      </c>
      <c r="I6" s="12">
        <v>0</v>
      </c>
    </row>
    <row r="7" spans="2:9" ht="15" customHeight="1" x14ac:dyDescent="0.2">
      <c r="B7" t="s">
        <v>63</v>
      </c>
      <c r="C7" s="12">
        <v>597</v>
      </c>
      <c r="D7" s="8">
        <v>4.51</v>
      </c>
      <c r="E7" s="12">
        <v>77</v>
      </c>
      <c r="F7" s="8">
        <v>1.77</v>
      </c>
      <c r="G7" s="12">
        <v>520</v>
      </c>
      <c r="H7" s="8">
        <v>5.86</v>
      </c>
      <c r="I7" s="12">
        <v>0</v>
      </c>
    </row>
    <row r="8" spans="2:9" ht="15" customHeight="1" x14ac:dyDescent="0.2">
      <c r="B8" t="s">
        <v>64</v>
      </c>
      <c r="C8" s="12">
        <v>54</v>
      </c>
      <c r="D8" s="8">
        <v>0.41</v>
      </c>
      <c r="E8" s="12">
        <v>0</v>
      </c>
      <c r="F8" s="8">
        <v>0</v>
      </c>
      <c r="G8" s="12">
        <v>54</v>
      </c>
      <c r="H8" s="8">
        <v>0.61</v>
      </c>
      <c r="I8" s="12">
        <v>0</v>
      </c>
    </row>
    <row r="9" spans="2:9" ht="15" customHeight="1" x14ac:dyDescent="0.2">
      <c r="B9" t="s">
        <v>65</v>
      </c>
      <c r="C9" s="12">
        <v>208</v>
      </c>
      <c r="D9" s="8">
        <v>1.57</v>
      </c>
      <c r="E9" s="12">
        <v>5</v>
      </c>
      <c r="F9" s="8">
        <v>0.11</v>
      </c>
      <c r="G9" s="12">
        <v>203</v>
      </c>
      <c r="H9" s="8">
        <v>2.29</v>
      </c>
      <c r="I9" s="12">
        <v>0</v>
      </c>
    </row>
    <row r="10" spans="2:9" ht="15" customHeight="1" x14ac:dyDescent="0.2">
      <c r="B10" t="s">
        <v>66</v>
      </c>
      <c r="C10" s="12">
        <v>196</v>
      </c>
      <c r="D10" s="8">
        <v>1.48</v>
      </c>
      <c r="E10" s="12">
        <v>27</v>
      </c>
      <c r="F10" s="8">
        <v>0.62</v>
      </c>
      <c r="G10" s="12">
        <v>168</v>
      </c>
      <c r="H10" s="8">
        <v>1.89</v>
      </c>
      <c r="I10" s="12">
        <v>1</v>
      </c>
    </row>
    <row r="11" spans="2:9" ht="15" customHeight="1" x14ac:dyDescent="0.2">
      <c r="B11" t="s">
        <v>67</v>
      </c>
      <c r="C11" s="12">
        <v>2707</v>
      </c>
      <c r="D11" s="8">
        <v>20.45</v>
      </c>
      <c r="E11" s="12">
        <v>638</v>
      </c>
      <c r="F11" s="8">
        <v>14.67</v>
      </c>
      <c r="G11" s="12">
        <v>2067</v>
      </c>
      <c r="H11" s="8">
        <v>23.3</v>
      </c>
      <c r="I11" s="12">
        <v>2</v>
      </c>
    </row>
    <row r="12" spans="2:9" ht="15" customHeight="1" x14ac:dyDescent="0.2">
      <c r="B12" t="s">
        <v>68</v>
      </c>
      <c r="C12" s="12">
        <v>127</v>
      </c>
      <c r="D12" s="8">
        <v>0.96</v>
      </c>
      <c r="E12" s="12">
        <v>7</v>
      </c>
      <c r="F12" s="8">
        <v>0.16</v>
      </c>
      <c r="G12" s="12">
        <v>120</v>
      </c>
      <c r="H12" s="8">
        <v>1.35</v>
      </c>
      <c r="I12" s="12">
        <v>0</v>
      </c>
    </row>
    <row r="13" spans="2:9" ht="15" customHeight="1" x14ac:dyDescent="0.2">
      <c r="B13" t="s">
        <v>69</v>
      </c>
      <c r="C13" s="12">
        <v>1646</v>
      </c>
      <c r="D13" s="8">
        <v>12.43</v>
      </c>
      <c r="E13" s="12">
        <v>404</v>
      </c>
      <c r="F13" s="8">
        <v>9.2899999999999991</v>
      </c>
      <c r="G13" s="12">
        <v>1240</v>
      </c>
      <c r="H13" s="8">
        <v>13.98</v>
      </c>
      <c r="I13" s="12">
        <v>2</v>
      </c>
    </row>
    <row r="14" spans="2:9" ht="15" customHeight="1" x14ac:dyDescent="0.2">
      <c r="B14" t="s">
        <v>70</v>
      </c>
      <c r="C14" s="12">
        <v>1012</v>
      </c>
      <c r="D14" s="8">
        <v>7.64</v>
      </c>
      <c r="E14" s="12">
        <v>370</v>
      </c>
      <c r="F14" s="8">
        <v>8.51</v>
      </c>
      <c r="G14" s="12">
        <v>640</v>
      </c>
      <c r="H14" s="8">
        <v>7.21</v>
      </c>
      <c r="I14" s="12">
        <v>1</v>
      </c>
    </row>
    <row r="15" spans="2:9" ht="15" customHeight="1" x14ac:dyDescent="0.2">
      <c r="B15" t="s">
        <v>71</v>
      </c>
      <c r="C15" s="12">
        <v>1126</v>
      </c>
      <c r="D15" s="8">
        <v>8.51</v>
      </c>
      <c r="E15" s="12">
        <v>732</v>
      </c>
      <c r="F15" s="8">
        <v>16.829999999999998</v>
      </c>
      <c r="G15" s="12">
        <v>394</v>
      </c>
      <c r="H15" s="8">
        <v>4.4400000000000004</v>
      </c>
      <c r="I15" s="12">
        <v>0</v>
      </c>
    </row>
    <row r="16" spans="2:9" ht="15" customHeight="1" x14ac:dyDescent="0.2">
      <c r="B16" t="s">
        <v>72</v>
      </c>
      <c r="C16" s="12">
        <v>1714</v>
      </c>
      <c r="D16" s="8">
        <v>12.95</v>
      </c>
      <c r="E16" s="12">
        <v>1152</v>
      </c>
      <c r="F16" s="8">
        <v>26.49</v>
      </c>
      <c r="G16" s="12">
        <v>561</v>
      </c>
      <c r="H16" s="8">
        <v>6.32</v>
      </c>
      <c r="I16" s="12">
        <v>1</v>
      </c>
    </row>
    <row r="17" spans="2:9" ht="15" customHeight="1" x14ac:dyDescent="0.2">
      <c r="B17" t="s">
        <v>73</v>
      </c>
      <c r="C17" s="12">
        <v>454</v>
      </c>
      <c r="D17" s="8">
        <v>3.43</v>
      </c>
      <c r="E17" s="12">
        <v>244</v>
      </c>
      <c r="F17" s="8">
        <v>5.61</v>
      </c>
      <c r="G17" s="12">
        <v>207</v>
      </c>
      <c r="H17" s="8">
        <v>2.33</v>
      </c>
      <c r="I17" s="12">
        <v>2</v>
      </c>
    </row>
    <row r="18" spans="2:9" ht="15" customHeight="1" x14ac:dyDescent="0.2">
      <c r="B18" t="s">
        <v>74</v>
      </c>
      <c r="C18" s="12">
        <v>769</v>
      </c>
      <c r="D18" s="8">
        <v>5.81</v>
      </c>
      <c r="E18" s="12">
        <v>472</v>
      </c>
      <c r="F18" s="8">
        <v>10.85</v>
      </c>
      <c r="G18" s="12">
        <v>296</v>
      </c>
      <c r="H18" s="8">
        <v>3.34</v>
      </c>
      <c r="I18" s="12">
        <v>1</v>
      </c>
    </row>
    <row r="19" spans="2:9" ht="15" customHeight="1" x14ac:dyDescent="0.2">
      <c r="B19" t="s">
        <v>75</v>
      </c>
      <c r="C19" s="12">
        <v>541</v>
      </c>
      <c r="D19" s="8">
        <v>4.09</v>
      </c>
      <c r="E19" s="12">
        <v>84</v>
      </c>
      <c r="F19" s="8">
        <v>1.93</v>
      </c>
      <c r="G19" s="12">
        <v>451</v>
      </c>
      <c r="H19" s="8">
        <v>5.08</v>
      </c>
      <c r="I19" s="12">
        <v>4</v>
      </c>
    </row>
    <row r="20" spans="2:9" ht="15" customHeight="1" x14ac:dyDescent="0.2">
      <c r="B20" s="9" t="s">
        <v>248</v>
      </c>
      <c r="C20" s="12">
        <f>SUM(LTBL_12100[総数／事業所数])</f>
        <v>13238</v>
      </c>
      <c r="E20" s="12">
        <f>SUBTOTAL(109,LTBL_12100[個人／事業所数])</f>
        <v>4349</v>
      </c>
      <c r="G20" s="12">
        <f>SUBTOTAL(109,LTBL_12100[法人／事業所数])</f>
        <v>8871</v>
      </c>
      <c r="I20" s="12">
        <f>SUBTOTAL(109,LTBL_12100[法人以外の団体／事業所数])</f>
        <v>14</v>
      </c>
    </row>
    <row r="21" spans="2:9" ht="15" customHeight="1" x14ac:dyDescent="0.2">
      <c r="E21" s="11">
        <f>LTBL_12100[[#Totals],[個人／事業所数]]/LTBL_12100[[#Totals],[総数／事業所数]]</f>
        <v>0.3285239462154404</v>
      </c>
      <c r="G21" s="11">
        <f>LTBL_12100[[#Totals],[法人／事業所数]]/LTBL_12100[[#Totals],[総数／事業所数]]</f>
        <v>0.670116331772171</v>
      </c>
      <c r="I21" s="11">
        <f>LTBL_12100[[#Totals],[法人以外の団体／事業所数]]/LTBL_12100[[#Totals],[総数／事業所数]]</f>
        <v>1.0575615651911164E-3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1439</v>
      </c>
      <c r="D24" s="8">
        <v>10.87</v>
      </c>
      <c r="E24" s="12">
        <v>1063</v>
      </c>
      <c r="F24" s="8">
        <v>24.44</v>
      </c>
      <c r="G24" s="12">
        <v>376</v>
      </c>
      <c r="H24" s="8">
        <v>4.24</v>
      </c>
      <c r="I24" s="12">
        <v>0</v>
      </c>
    </row>
    <row r="25" spans="2:9" ht="15" customHeight="1" x14ac:dyDescent="0.2">
      <c r="B25" t="s">
        <v>94</v>
      </c>
      <c r="C25" s="12">
        <v>1300</v>
      </c>
      <c r="D25" s="8">
        <v>9.82</v>
      </c>
      <c r="E25" s="12">
        <v>397</v>
      </c>
      <c r="F25" s="8">
        <v>9.1300000000000008</v>
      </c>
      <c r="G25" s="12">
        <v>901</v>
      </c>
      <c r="H25" s="8">
        <v>10.16</v>
      </c>
      <c r="I25" s="12">
        <v>2</v>
      </c>
    </row>
    <row r="26" spans="2:9" ht="15" customHeight="1" x14ac:dyDescent="0.2">
      <c r="B26" t="s">
        <v>97</v>
      </c>
      <c r="C26" s="12">
        <v>999</v>
      </c>
      <c r="D26" s="8">
        <v>7.55</v>
      </c>
      <c r="E26" s="12">
        <v>713</v>
      </c>
      <c r="F26" s="8">
        <v>16.39</v>
      </c>
      <c r="G26" s="12">
        <v>286</v>
      </c>
      <c r="H26" s="8">
        <v>3.22</v>
      </c>
      <c r="I26" s="12">
        <v>0</v>
      </c>
    </row>
    <row r="27" spans="2:9" ht="15" customHeight="1" x14ac:dyDescent="0.2">
      <c r="B27" t="s">
        <v>84</v>
      </c>
      <c r="C27" s="12">
        <v>773</v>
      </c>
      <c r="D27" s="8">
        <v>5.84</v>
      </c>
      <c r="E27" s="12">
        <v>28</v>
      </c>
      <c r="F27" s="8">
        <v>0.64</v>
      </c>
      <c r="G27" s="12">
        <v>745</v>
      </c>
      <c r="H27" s="8">
        <v>8.4</v>
      </c>
      <c r="I27" s="12">
        <v>0</v>
      </c>
    </row>
    <row r="28" spans="2:9" ht="15" customHeight="1" x14ac:dyDescent="0.2">
      <c r="B28" t="s">
        <v>92</v>
      </c>
      <c r="C28" s="12">
        <v>721</v>
      </c>
      <c r="D28" s="8">
        <v>5.45</v>
      </c>
      <c r="E28" s="12">
        <v>241</v>
      </c>
      <c r="F28" s="8">
        <v>5.54</v>
      </c>
      <c r="G28" s="12">
        <v>478</v>
      </c>
      <c r="H28" s="8">
        <v>5.39</v>
      </c>
      <c r="I28" s="12">
        <v>2</v>
      </c>
    </row>
    <row r="29" spans="2:9" ht="15" customHeight="1" x14ac:dyDescent="0.2">
      <c r="B29" t="s">
        <v>85</v>
      </c>
      <c r="C29" s="12">
        <v>678</v>
      </c>
      <c r="D29" s="8">
        <v>5.12</v>
      </c>
      <c r="E29" s="12">
        <v>77</v>
      </c>
      <c r="F29" s="8">
        <v>1.77</v>
      </c>
      <c r="G29" s="12">
        <v>601</v>
      </c>
      <c r="H29" s="8">
        <v>6.77</v>
      </c>
      <c r="I29" s="12">
        <v>0</v>
      </c>
    </row>
    <row r="30" spans="2:9" ht="15" customHeight="1" x14ac:dyDescent="0.2">
      <c r="B30" t="s">
        <v>86</v>
      </c>
      <c r="C30" s="12">
        <v>636</v>
      </c>
      <c r="D30" s="8">
        <v>4.8</v>
      </c>
      <c r="E30" s="12">
        <v>32</v>
      </c>
      <c r="F30" s="8">
        <v>0.74</v>
      </c>
      <c r="G30" s="12">
        <v>604</v>
      </c>
      <c r="H30" s="8">
        <v>6.81</v>
      </c>
      <c r="I30" s="12">
        <v>0</v>
      </c>
    </row>
    <row r="31" spans="2:9" ht="15" customHeight="1" x14ac:dyDescent="0.2">
      <c r="B31" t="s">
        <v>95</v>
      </c>
      <c r="C31" s="12">
        <v>565</v>
      </c>
      <c r="D31" s="8">
        <v>4.2699999999999996</v>
      </c>
      <c r="E31" s="12">
        <v>305</v>
      </c>
      <c r="F31" s="8">
        <v>7.01</v>
      </c>
      <c r="G31" s="12">
        <v>259</v>
      </c>
      <c r="H31" s="8">
        <v>2.92</v>
      </c>
      <c r="I31" s="12">
        <v>1</v>
      </c>
    </row>
    <row r="32" spans="2:9" ht="15" customHeight="1" x14ac:dyDescent="0.2">
      <c r="B32" t="s">
        <v>101</v>
      </c>
      <c r="C32" s="12">
        <v>558</v>
      </c>
      <c r="D32" s="8">
        <v>4.22</v>
      </c>
      <c r="E32" s="12">
        <v>464</v>
      </c>
      <c r="F32" s="8">
        <v>10.67</v>
      </c>
      <c r="G32" s="12">
        <v>94</v>
      </c>
      <c r="H32" s="8">
        <v>1.06</v>
      </c>
      <c r="I32" s="12">
        <v>0</v>
      </c>
    </row>
    <row r="33" spans="2:9" ht="15" customHeight="1" x14ac:dyDescent="0.2">
      <c r="B33" t="s">
        <v>100</v>
      </c>
      <c r="C33" s="12">
        <v>454</v>
      </c>
      <c r="D33" s="8">
        <v>3.43</v>
      </c>
      <c r="E33" s="12">
        <v>244</v>
      </c>
      <c r="F33" s="8">
        <v>5.61</v>
      </c>
      <c r="G33" s="12">
        <v>207</v>
      </c>
      <c r="H33" s="8">
        <v>2.33</v>
      </c>
      <c r="I33" s="12">
        <v>2</v>
      </c>
    </row>
    <row r="34" spans="2:9" ht="15" customHeight="1" x14ac:dyDescent="0.2">
      <c r="B34" t="s">
        <v>90</v>
      </c>
      <c r="C34" s="12">
        <v>414</v>
      </c>
      <c r="D34" s="8">
        <v>3.13</v>
      </c>
      <c r="E34" s="12">
        <v>202</v>
      </c>
      <c r="F34" s="8">
        <v>4.6399999999999997</v>
      </c>
      <c r="G34" s="12">
        <v>212</v>
      </c>
      <c r="H34" s="8">
        <v>2.39</v>
      </c>
      <c r="I34" s="12">
        <v>0</v>
      </c>
    </row>
    <row r="35" spans="2:9" ht="15" customHeight="1" x14ac:dyDescent="0.2">
      <c r="B35" t="s">
        <v>96</v>
      </c>
      <c r="C35" s="12">
        <v>401</v>
      </c>
      <c r="D35" s="8">
        <v>3.03</v>
      </c>
      <c r="E35" s="12">
        <v>64</v>
      </c>
      <c r="F35" s="8">
        <v>1.47</v>
      </c>
      <c r="G35" s="12">
        <v>336</v>
      </c>
      <c r="H35" s="8">
        <v>3.79</v>
      </c>
      <c r="I35" s="12">
        <v>0</v>
      </c>
    </row>
    <row r="36" spans="2:9" ht="15" customHeight="1" x14ac:dyDescent="0.2">
      <c r="B36" t="s">
        <v>91</v>
      </c>
      <c r="C36" s="12">
        <v>302</v>
      </c>
      <c r="D36" s="8">
        <v>2.2799999999999998</v>
      </c>
      <c r="E36" s="12">
        <v>84</v>
      </c>
      <c r="F36" s="8">
        <v>1.93</v>
      </c>
      <c r="G36" s="12">
        <v>218</v>
      </c>
      <c r="H36" s="8">
        <v>2.46</v>
      </c>
      <c r="I36" s="12">
        <v>0</v>
      </c>
    </row>
    <row r="37" spans="2:9" ht="15" customHeight="1" x14ac:dyDescent="0.2">
      <c r="B37" t="s">
        <v>89</v>
      </c>
      <c r="C37" s="12">
        <v>293</v>
      </c>
      <c r="D37" s="8">
        <v>2.21</v>
      </c>
      <c r="E37" s="12">
        <v>68</v>
      </c>
      <c r="F37" s="8">
        <v>1.56</v>
      </c>
      <c r="G37" s="12">
        <v>225</v>
      </c>
      <c r="H37" s="8">
        <v>2.54</v>
      </c>
      <c r="I37" s="12">
        <v>0</v>
      </c>
    </row>
    <row r="38" spans="2:9" ht="15" customHeight="1" x14ac:dyDescent="0.2">
      <c r="B38" t="s">
        <v>93</v>
      </c>
      <c r="C38" s="12">
        <v>268</v>
      </c>
      <c r="D38" s="8">
        <v>2.02</v>
      </c>
      <c r="E38" s="12">
        <v>6</v>
      </c>
      <c r="F38" s="8">
        <v>0.14000000000000001</v>
      </c>
      <c r="G38" s="12">
        <v>262</v>
      </c>
      <c r="H38" s="8">
        <v>2.95</v>
      </c>
      <c r="I38" s="12">
        <v>0</v>
      </c>
    </row>
    <row r="39" spans="2:9" ht="15" customHeight="1" x14ac:dyDescent="0.2">
      <c r="B39" t="s">
        <v>88</v>
      </c>
      <c r="C39" s="12">
        <v>257</v>
      </c>
      <c r="D39" s="8">
        <v>1.94</v>
      </c>
      <c r="E39" s="12">
        <v>3</v>
      </c>
      <c r="F39" s="8">
        <v>7.0000000000000007E-2</v>
      </c>
      <c r="G39" s="12">
        <v>254</v>
      </c>
      <c r="H39" s="8">
        <v>2.86</v>
      </c>
      <c r="I39" s="12">
        <v>0</v>
      </c>
    </row>
    <row r="40" spans="2:9" ht="15" customHeight="1" x14ac:dyDescent="0.2">
      <c r="B40" t="s">
        <v>102</v>
      </c>
      <c r="C40" s="12">
        <v>211</v>
      </c>
      <c r="D40" s="8">
        <v>1.59</v>
      </c>
      <c r="E40" s="12">
        <v>8</v>
      </c>
      <c r="F40" s="8">
        <v>0.18</v>
      </c>
      <c r="G40" s="12">
        <v>202</v>
      </c>
      <c r="H40" s="8">
        <v>2.2799999999999998</v>
      </c>
      <c r="I40" s="12">
        <v>1</v>
      </c>
    </row>
    <row r="41" spans="2:9" ht="15" customHeight="1" x14ac:dyDescent="0.2">
      <c r="B41" t="s">
        <v>104</v>
      </c>
      <c r="C41" s="12">
        <v>207</v>
      </c>
      <c r="D41" s="8">
        <v>1.56</v>
      </c>
      <c r="E41" s="12">
        <v>13</v>
      </c>
      <c r="F41" s="8">
        <v>0.3</v>
      </c>
      <c r="G41" s="12">
        <v>194</v>
      </c>
      <c r="H41" s="8">
        <v>2.19</v>
      </c>
      <c r="I41" s="12">
        <v>0</v>
      </c>
    </row>
    <row r="42" spans="2:9" ht="15" customHeight="1" x14ac:dyDescent="0.2">
      <c r="B42" t="s">
        <v>105</v>
      </c>
      <c r="C42" s="12">
        <v>207</v>
      </c>
      <c r="D42" s="8">
        <v>1.56</v>
      </c>
      <c r="E42" s="12">
        <v>8</v>
      </c>
      <c r="F42" s="8">
        <v>0.18</v>
      </c>
      <c r="G42" s="12">
        <v>196</v>
      </c>
      <c r="H42" s="8">
        <v>2.21</v>
      </c>
      <c r="I42" s="12">
        <v>3</v>
      </c>
    </row>
    <row r="43" spans="2:9" ht="15" customHeight="1" x14ac:dyDescent="0.2">
      <c r="B43" t="s">
        <v>87</v>
      </c>
      <c r="C43" s="12">
        <v>206</v>
      </c>
      <c r="D43" s="8">
        <v>1.56</v>
      </c>
      <c r="E43" s="12">
        <v>9</v>
      </c>
      <c r="F43" s="8">
        <v>0.21</v>
      </c>
      <c r="G43" s="12">
        <v>197</v>
      </c>
      <c r="H43" s="8">
        <v>2.2200000000000002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158</v>
      </c>
      <c r="C47" s="12">
        <v>728</v>
      </c>
      <c r="D47" s="8">
        <v>5.5</v>
      </c>
      <c r="E47" s="12">
        <v>316</v>
      </c>
      <c r="F47" s="8">
        <v>7.27</v>
      </c>
      <c r="G47" s="12">
        <v>412</v>
      </c>
      <c r="H47" s="8">
        <v>4.6399999999999997</v>
      </c>
      <c r="I47" s="12">
        <v>0</v>
      </c>
    </row>
    <row r="48" spans="2:9" ht="15" customHeight="1" x14ac:dyDescent="0.2">
      <c r="B48" t="s">
        <v>164</v>
      </c>
      <c r="C48" s="12">
        <v>647</v>
      </c>
      <c r="D48" s="8">
        <v>4.8899999999999997</v>
      </c>
      <c r="E48" s="12">
        <v>516</v>
      </c>
      <c r="F48" s="8">
        <v>11.86</v>
      </c>
      <c r="G48" s="12">
        <v>131</v>
      </c>
      <c r="H48" s="8">
        <v>1.48</v>
      </c>
      <c r="I48" s="12">
        <v>0</v>
      </c>
    </row>
    <row r="49" spans="2:9" ht="15" customHeight="1" x14ac:dyDescent="0.2">
      <c r="B49" t="s">
        <v>163</v>
      </c>
      <c r="C49" s="12">
        <v>449</v>
      </c>
      <c r="D49" s="8">
        <v>3.39</v>
      </c>
      <c r="E49" s="12">
        <v>397</v>
      </c>
      <c r="F49" s="8">
        <v>9.1300000000000008</v>
      </c>
      <c r="G49" s="12">
        <v>52</v>
      </c>
      <c r="H49" s="8">
        <v>0.59</v>
      </c>
      <c r="I49" s="12">
        <v>0</v>
      </c>
    </row>
    <row r="50" spans="2:9" ht="15" customHeight="1" x14ac:dyDescent="0.2">
      <c r="B50" t="s">
        <v>166</v>
      </c>
      <c r="C50" s="12">
        <v>328</v>
      </c>
      <c r="D50" s="8">
        <v>2.48</v>
      </c>
      <c r="E50" s="12">
        <v>263</v>
      </c>
      <c r="F50" s="8">
        <v>6.05</v>
      </c>
      <c r="G50" s="12">
        <v>65</v>
      </c>
      <c r="H50" s="8">
        <v>0.73</v>
      </c>
      <c r="I50" s="12">
        <v>0</v>
      </c>
    </row>
    <row r="51" spans="2:9" ht="15" customHeight="1" x14ac:dyDescent="0.2">
      <c r="B51" t="s">
        <v>161</v>
      </c>
      <c r="C51" s="12">
        <v>310</v>
      </c>
      <c r="D51" s="8">
        <v>2.34</v>
      </c>
      <c r="E51" s="12">
        <v>199</v>
      </c>
      <c r="F51" s="8">
        <v>4.58</v>
      </c>
      <c r="G51" s="12">
        <v>111</v>
      </c>
      <c r="H51" s="8">
        <v>1.25</v>
      </c>
      <c r="I51" s="12">
        <v>0</v>
      </c>
    </row>
    <row r="52" spans="2:9" ht="15" customHeight="1" x14ac:dyDescent="0.2">
      <c r="B52" t="s">
        <v>165</v>
      </c>
      <c r="C52" s="12">
        <v>271</v>
      </c>
      <c r="D52" s="8">
        <v>2.0499999999999998</v>
      </c>
      <c r="E52" s="12">
        <v>159</v>
      </c>
      <c r="F52" s="8">
        <v>3.66</v>
      </c>
      <c r="G52" s="12">
        <v>111</v>
      </c>
      <c r="H52" s="8">
        <v>1.25</v>
      </c>
      <c r="I52" s="12">
        <v>1</v>
      </c>
    </row>
    <row r="53" spans="2:9" ht="15" customHeight="1" x14ac:dyDescent="0.2">
      <c r="B53" t="s">
        <v>162</v>
      </c>
      <c r="C53" s="12">
        <v>261</v>
      </c>
      <c r="D53" s="8">
        <v>1.97</v>
      </c>
      <c r="E53" s="12">
        <v>211</v>
      </c>
      <c r="F53" s="8">
        <v>4.8499999999999996</v>
      </c>
      <c r="G53" s="12">
        <v>50</v>
      </c>
      <c r="H53" s="8">
        <v>0.56000000000000005</v>
      </c>
      <c r="I53" s="12">
        <v>0</v>
      </c>
    </row>
    <row r="54" spans="2:9" ht="15" customHeight="1" x14ac:dyDescent="0.2">
      <c r="B54" t="s">
        <v>160</v>
      </c>
      <c r="C54" s="12">
        <v>259</v>
      </c>
      <c r="D54" s="8">
        <v>1.96</v>
      </c>
      <c r="E54" s="12">
        <v>26</v>
      </c>
      <c r="F54" s="8">
        <v>0.6</v>
      </c>
      <c r="G54" s="12">
        <v>232</v>
      </c>
      <c r="H54" s="8">
        <v>2.62</v>
      </c>
      <c r="I54" s="12">
        <v>0</v>
      </c>
    </row>
    <row r="55" spans="2:9" ht="15" customHeight="1" x14ac:dyDescent="0.2">
      <c r="B55" t="s">
        <v>157</v>
      </c>
      <c r="C55" s="12">
        <v>255</v>
      </c>
      <c r="D55" s="8">
        <v>1.93</v>
      </c>
      <c r="E55" s="12">
        <v>33</v>
      </c>
      <c r="F55" s="8">
        <v>0.76</v>
      </c>
      <c r="G55" s="12">
        <v>222</v>
      </c>
      <c r="H55" s="8">
        <v>2.5</v>
      </c>
      <c r="I55" s="12">
        <v>0</v>
      </c>
    </row>
    <row r="56" spans="2:9" ht="15" customHeight="1" x14ac:dyDescent="0.2">
      <c r="B56" t="s">
        <v>153</v>
      </c>
      <c r="C56" s="12">
        <v>248</v>
      </c>
      <c r="D56" s="8">
        <v>1.87</v>
      </c>
      <c r="E56" s="12">
        <v>8</v>
      </c>
      <c r="F56" s="8">
        <v>0.18</v>
      </c>
      <c r="G56" s="12">
        <v>240</v>
      </c>
      <c r="H56" s="8">
        <v>2.71</v>
      </c>
      <c r="I56" s="12">
        <v>0</v>
      </c>
    </row>
    <row r="57" spans="2:9" ht="15" customHeight="1" x14ac:dyDescent="0.2">
      <c r="B57" t="s">
        <v>156</v>
      </c>
      <c r="C57" s="12">
        <v>232</v>
      </c>
      <c r="D57" s="8">
        <v>1.75</v>
      </c>
      <c r="E57" s="12">
        <v>93</v>
      </c>
      <c r="F57" s="8">
        <v>2.14</v>
      </c>
      <c r="G57" s="12">
        <v>138</v>
      </c>
      <c r="H57" s="8">
        <v>1.56</v>
      </c>
      <c r="I57" s="12">
        <v>1</v>
      </c>
    </row>
    <row r="58" spans="2:9" ht="15" customHeight="1" x14ac:dyDescent="0.2">
      <c r="B58" t="s">
        <v>152</v>
      </c>
      <c r="C58" s="12">
        <v>231</v>
      </c>
      <c r="D58" s="8">
        <v>1.74</v>
      </c>
      <c r="E58" s="12">
        <v>20</v>
      </c>
      <c r="F58" s="8">
        <v>0.46</v>
      </c>
      <c r="G58" s="12">
        <v>211</v>
      </c>
      <c r="H58" s="8">
        <v>2.38</v>
      </c>
      <c r="I58" s="12">
        <v>0</v>
      </c>
    </row>
    <row r="59" spans="2:9" ht="15" customHeight="1" x14ac:dyDescent="0.2">
      <c r="B59" t="s">
        <v>159</v>
      </c>
      <c r="C59" s="12">
        <v>216</v>
      </c>
      <c r="D59" s="8">
        <v>1.63</v>
      </c>
      <c r="E59" s="12">
        <v>4</v>
      </c>
      <c r="F59" s="8">
        <v>0.09</v>
      </c>
      <c r="G59" s="12">
        <v>210</v>
      </c>
      <c r="H59" s="8">
        <v>2.37</v>
      </c>
      <c r="I59" s="12">
        <v>2</v>
      </c>
    </row>
    <row r="60" spans="2:9" ht="15" customHeight="1" x14ac:dyDescent="0.2">
      <c r="B60" t="s">
        <v>151</v>
      </c>
      <c r="C60" s="12">
        <v>214</v>
      </c>
      <c r="D60" s="8">
        <v>1.62</v>
      </c>
      <c r="E60" s="12">
        <v>6</v>
      </c>
      <c r="F60" s="8">
        <v>0.14000000000000001</v>
      </c>
      <c r="G60" s="12">
        <v>208</v>
      </c>
      <c r="H60" s="8">
        <v>2.34</v>
      </c>
      <c r="I60" s="12">
        <v>0</v>
      </c>
    </row>
    <row r="61" spans="2:9" ht="15" customHeight="1" x14ac:dyDescent="0.2">
      <c r="B61" t="s">
        <v>170</v>
      </c>
      <c r="C61" s="12">
        <v>207</v>
      </c>
      <c r="D61" s="8">
        <v>1.56</v>
      </c>
      <c r="E61" s="12">
        <v>193</v>
      </c>
      <c r="F61" s="8">
        <v>4.4400000000000004</v>
      </c>
      <c r="G61" s="12">
        <v>14</v>
      </c>
      <c r="H61" s="8">
        <v>0.16</v>
      </c>
      <c r="I61" s="12">
        <v>0</v>
      </c>
    </row>
    <row r="62" spans="2:9" ht="15" customHeight="1" x14ac:dyDescent="0.2">
      <c r="B62" t="s">
        <v>148</v>
      </c>
      <c r="C62" s="12">
        <v>206</v>
      </c>
      <c r="D62" s="8">
        <v>1.56</v>
      </c>
      <c r="E62" s="12">
        <v>5</v>
      </c>
      <c r="F62" s="8">
        <v>0.11</v>
      </c>
      <c r="G62" s="12">
        <v>201</v>
      </c>
      <c r="H62" s="8">
        <v>2.27</v>
      </c>
      <c r="I62" s="12">
        <v>0</v>
      </c>
    </row>
    <row r="63" spans="2:9" ht="15" customHeight="1" x14ac:dyDescent="0.2">
      <c r="B63" t="s">
        <v>169</v>
      </c>
      <c r="C63" s="12">
        <v>199</v>
      </c>
      <c r="D63" s="8">
        <v>1.5</v>
      </c>
      <c r="E63" s="12">
        <v>96</v>
      </c>
      <c r="F63" s="8">
        <v>2.21</v>
      </c>
      <c r="G63" s="12">
        <v>103</v>
      </c>
      <c r="H63" s="8">
        <v>1.1599999999999999</v>
      </c>
      <c r="I63" s="12">
        <v>0</v>
      </c>
    </row>
    <row r="64" spans="2:9" ht="15" customHeight="1" x14ac:dyDescent="0.2">
      <c r="B64" t="s">
        <v>155</v>
      </c>
      <c r="C64" s="12">
        <v>189</v>
      </c>
      <c r="D64" s="8">
        <v>1.43</v>
      </c>
      <c r="E64" s="12">
        <v>36</v>
      </c>
      <c r="F64" s="8">
        <v>0.83</v>
      </c>
      <c r="G64" s="12">
        <v>153</v>
      </c>
      <c r="H64" s="8">
        <v>1.72</v>
      </c>
      <c r="I64" s="12">
        <v>0</v>
      </c>
    </row>
    <row r="65" spans="2:9" ht="15" customHeight="1" x14ac:dyDescent="0.2">
      <c r="B65" t="s">
        <v>154</v>
      </c>
      <c r="C65" s="12">
        <v>186</v>
      </c>
      <c r="D65" s="8">
        <v>1.41</v>
      </c>
      <c r="E65" s="12">
        <v>84</v>
      </c>
      <c r="F65" s="8">
        <v>1.93</v>
      </c>
      <c r="G65" s="12">
        <v>102</v>
      </c>
      <c r="H65" s="8">
        <v>1.1499999999999999</v>
      </c>
      <c r="I65" s="12">
        <v>0</v>
      </c>
    </row>
    <row r="66" spans="2:9" ht="15" customHeight="1" x14ac:dyDescent="0.2">
      <c r="B66" t="s">
        <v>168</v>
      </c>
      <c r="C66" s="12">
        <v>185</v>
      </c>
      <c r="D66" s="8">
        <v>1.4</v>
      </c>
      <c r="E66" s="12">
        <v>40</v>
      </c>
      <c r="F66" s="8">
        <v>0.92</v>
      </c>
      <c r="G66" s="12">
        <v>145</v>
      </c>
      <c r="H66" s="8">
        <v>1.63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A5414-65D3-467D-8EEE-A5FFFD2430E6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306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45</v>
      </c>
      <c r="D6" s="8">
        <v>20.27</v>
      </c>
      <c r="E6" s="12">
        <v>15</v>
      </c>
      <c r="F6" s="8">
        <v>12.3</v>
      </c>
      <c r="G6" s="12">
        <v>30</v>
      </c>
      <c r="H6" s="8">
        <v>30.3</v>
      </c>
      <c r="I6" s="12">
        <v>0</v>
      </c>
    </row>
    <row r="7" spans="2:9" ht="15" customHeight="1" x14ac:dyDescent="0.2">
      <c r="B7" t="s">
        <v>63</v>
      </c>
      <c r="C7" s="12">
        <v>24</v>
      </c>
      <c r="D7" s="8">
        <v>10.81</v>
      </c>
      <c r="E7" s="12">
        <v>10</v>
      </c>
      <c r="F7" s="8">
        <v>8.1999999999999993</v>
      </c>
      <c r="G7" s="12">
        <v>14</v>
      </c>
      <c r="H7" s="8">
        <v>14.14</v>
      </c>
      <c r="I7" s="12">
        <v>0</v>
      </c>
    </row>
    <row r="8" spans="2:9" ht="15" customHeight="1" x14ac:dyDescent="0.2">
      <c r="B8" t="s">
        <v>64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65</v>
      </c>
      <c r="C9" s="12">
        <v>2</v>
      </c>
      <c r="D9" s="8">
        <v>0.9</v>
      </c>
      <c r="E9" s="12">
        <v>0</v>
      </c>
      <c r="F9" s="8">
        <v>0</v>
      </c>
      <c r="G9" s="12">
        <v>2</v>
      </c>
      <c r="H9" s="8">
        <v>2.02</v>
      </c>
      <c r="I9" s="12">
        <v>0</v>
      </c>
    </row>
    <row r="10" spans="2:9" ht="15" customHeight="1" x14ac:dyDescent="0.2">
      <c r="B10" t="s">
        <v>66</v>
      </c>
      <c r="C10" s="12">
        <v>2</v>
      </c>
      <c r="D10" s="8">
        <v>0.9</v>
      </c>
      <c r="E10" s="12">
        <v>0</v>
      </c>
      <c r="F10" s="8">
        <v>0</v>
      </c>
      <c r="G10" s="12">
        <v>2</v>
      </c>
      <c r="H10" s="8">
        <v>2.02</v>
      </c>
      <c r="I10" s="12">
        <v>0</v>
      </c>
    </row>
    <row r="11" spans="2:9" ht="15" customHeight="1" x14ac:dyDescent="0.2">
      <c r="B11" t="s">
        <v>67</v>
      </c>
      <c r="C11" s="12">
        <v>47</v>
      </c>
      <c r="D11" s="8">
        <v>21.17</v>
      </c>
      <c r="E11" s="12">
        <v>28</v>
      </c>
      <c r="F11" s="8">
        <v>22.95</v>
      </c>
      <c r="G11" s="12">
        <v>19</v>
      </c>
      <c r="H11" s="8">
        <v>19.190000000000001</v>
      </c>
      <c r="I11" s="12">
        <v>0</v>
      </c>
    </row>
    <row r="12" spans="2:9" ht="15" customHeight="1" x14ac:dyDescent="0.2">
      <c r="B12" t="s">
        <v>68</v>
      </c>
      <c r="C12" s="12">
        <v>1</v>
      </c>
      <c r="D12" s="8">
        <v>0.45</v>
      </c>
      <c r="E12" s="12">
        <v>0</v>
      </c>
      <c r="F12" s="8">
        <v>0</v>
      </c>
      <c r="G12" s="12">
        <v>1</v>
      </c>
      <c r="H12" s="8">
        <v>1.01</v>
      </c>
      <c r="I12" s="12">
        <v>0</v>
      </c>
    </row>
    <row r="13" spans="2:9" ht="15" customHeight="1" x14ac:dyDescent="0.2">
      <c r="B13" t="s">
        <v>69</v>
      </c>
      <c r="C13" s="12">
        <v>8</v>
      </c>
      <c r="D13" s="8">
        <v>3.6</v>
      </c>
      <c r="E13" s="12">
        <v>1</v>
      </c>
      <c r="F13" s="8">
        <v>0.82</v>
      </c>
      <c r="G13" s="12">
        <v>7</v>
      </c>
      <c r="H13" s="8">
        <v>7.07</v>
      </c>
      <c r="I13" s="12">
        <v>0</v>
      </c>
    </row>
    <row r="14" spans="2:9" ht="15" customHeight="1" x14ac:dyDescent="0.2">
      <c r="B14" t="s">
        <v>70</v>
      </c>
      <c r="C14" s="12">
        <v>5</v>
      </c>
      <c r="D14" s="8">
        <v>2.25</v>
      </c>
      <c r="E14" s="12">
        <v>2</v>
      </c>
      <c r="F14" s="8">
        <v>1.64</v>
      </c>
      <c r="G14" s="12">
        <v>3</v>
      </c>
      <c r="H14" s="8">
        <v>3.03</v>
      </c>
      <c r="I14" s="12">
        <v>0</v>
      </c>
    </row>
    <row r="15" spans="2:9" ht="15" customHeight="1" x14ac:dyDescent="0.2">
      <c r="B15" t="s">
        <v>71</v>
      </c>
      <c r="C15" s="12">
        <v>36</v>
      </c>
      <c r="D15" s="8">
        <v>16.22</v>
      </c>
      <c r="E15" s="12">
        <v>29</v>
      </c>
      <c r="F15" s="8">
        <v>23.77</v>
      </c>
      <c r="G15" s="12">
        <v>7</v>
      </c>
      <c r="H15" s="8">
        <v>7.07</v>
      </c>
      <c r="I15" s="12">
        <v>0</v>
      </c>
    </row>
    <row r="16" spans="2:9" ht="15" customHeight="1" x14ac:dyDescent="0.2">
      <c r="B16" t="s">
        <v>72</v>
      </c>
      <c r="C16" s="12">
        <v>33</v>
      </c>
      <c r="D16" s="8">
        <v>14.86</v>
      </c>
      <c r="E16" s="12">
        <v>28</v>
      </c>
      <c r="F16" s="8">
        <v>22.95</v>
      </c>
      <c r="G16" s="12">
        <v>5</v>
      </c>
      <c r="H16" s="8">
        <v>5.05</v>
      </c>
      <c r="I16" s="12">
        <v>0</v>
      </c>
    </row>
    <row r="17" spans="2:9" ht="15" customHeight="1" x14ac:dyDescent="0.2">
      <c r="B17" t="s">
        <v>73</v>
      </c>
      <c r="C17" s="12">
        <v>2</v>
      </c>
      <c r="D17" s="8">
        <v>0.9</v>
      </c>
      <c r="E17" s="12">
        <v>2</v>
      </c>
      <c r="F17" s="8">
        <v>1.64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74</v>
      </c>
      <c r="C18" s="12">
        <v>6</v>
      </c>
      <c r="D18" s="8">
        <v>2.7</v>
      </c>
      <c r="E18" s="12">
        <v>4</v>
      </c>
      <c r="F18" s="8">
        <v>3.28</v>
      </c>
      <c r="G18" s="12">
        <v>2</v>
      </c>
      <c r="H18" s="8">
        <v>2.02</v>
      </c>
      <c r="I18" s="12">
        <v>0</v>
      </c>
    </row>
    <row r="19" spans="2:9" ht="15" customHeight="1" x14ac:dyDescent="0.2">
      <c r="B19" t="s">
        <v>75</v>
      </c>
      <c r="C19" s="12">
        <v>11</v>
      </c>
      <c r="D19" s="8">
        <v>4.95</v>
      </c>
      <c r="E19" s="12">
        <v>3</v>
      </c>
      <c r="F19" s="8">
        <v>2.46</v>
      </c>
      <c r="G19" s="12">
        <v>7</v>
      </c>
      <c r="H19" s="8">
        <v>7.07</v>
      </c>
      <c r="I19" s="12">
        <v>1</v>
      </c>
    </row>
    <row r="20" spans="2:9" ht="15" customHeight="1" x14ac:dyDescent="0.2">
      <c r="B20" s="9" t="s">
        <v>248</v>
      </c>
      <c r="C20" s="12">
        <f>SUM(LTBL_12424[総数／事業所数])</f>
        <v>222</v>
      </c>
      <c r="E20" s="12">
        <f>SUBTOTAL(109,LTBL_12424[個人／事業所数])</f>
        <v>122</v>
      </c>
      <c r="G20" s="12">
        <f>SUBTOTAL(109,LTBL_12424[法人／事業所数])</f>
        <v>99</v>
      </c>
      <c r="I20" s="12">
        <f>SUBTOTAL(109,LTBL_12424[法人以外の団体／事業所数])</f>
        <v>1</v>
      </c>
    </row>
    <row r="21" spans="2:9" ht="15" customHeight="1" x14ac:dyDescent="0.2">
      <c r="E21" s="11">
        <f>LTBL_12424[[#Totals],[個人／事業所数]]/LTBL_12424[[#Totals],[総数／事業所数]]</f>
        <v>0.5495495495495496</v>
      </c>
      <c r="G21" s="11">
        <f>LTBL_12424[[#Totals],[法人／事業所数]]/LTBL_12424[[#Totals],[総数／事業所数]]</f>
        <v>0.44594594594594594</v>
      </c>
      <c r="I21" s="11">
        <f>LTBL_12424[[#Totals],[法人以外の団体／事業所数]]/LTBL_12424[[#Totals],[総数／事業所数]]</f>
        <v>4.5045045045045045E-3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98</v>
      </c>
      <c r="C24" s="12">
        <v>31</v>
      </c>
      <c r="D24" s="8">
        <v>13.96</v>
      </c>
      <c r="E24" s="12">
        <v>28</v>
      </c>
      <c r="F24" s="8">
        <v>22.95</v>
      </c>
      <c r="G24" s="12">
        <v>3</v>
      </c>
      <c r="H24" s="8">
        <v>3.03</v>
      </c>
      <c r="I24" s="12">
        <v>0</v>
      </c>
    </row>
    <row r="25" spans="2:9" ht="15" customHeight="1" x14ac:dyDescent="0.2">
      <c r="B25" t="s">
        <v>97</v>
      </c>
      <c r="C25" s="12">
        <v>24</v>
      </c>
      <c r="D25" s="8">
        <v>10.81</v>
      </c>
      <c r="E25" s="12">
        <v>20</v>
      </c>
      <c r="F25" s="8">
        <v>16.39</v>
      </c>
      <c r="G25" s="12">
        <v>4</v>
      </c>
      <c r="H25" s="8">
        <v>4.04</v>
      </c>
      <c r="I25" s="12">
        <v>0</v>
      </c>
    </row>
    <row r="26" spans="2:9" ht="15" customHeight="1" x14ac:dyDescent="0.2">
      <c r="B26" t="s">
        <v>84</v>
      </c>
      <c r="C26" s="12">
        <v>17</v>
      </c>
      <c r="D26" s="8">
        <v>7.66</v>
      </c>
      <c r="E26" s="12">
        <v>4</v>
      </c>
      <c r="F26" s="8">
        <v>3.28</v>
      </c>
      <c r="G26" s="12">
        <v>13</v>
      </c>
      <c r="H26" s="8">
        <v>13.13</v>
      </c>
      <c r="I26" s="12">
        <v>0</v>
      </c>
    </row>
    <row r="27" spans="2:9" ht="15" customHeight="1" x14ac:dyDescent="0.2">
      <c r="B27" t="s">
        <v>85</v>
      </c>
      <c r="C27" s="12">
        <v>15</v>
      </c>
      <c r="D27" s="8">
        <v>6.76</v>
      </c>
      <c r="E27" s="12">
        <v>6</v>
      </c>
      <c r="F27" s="8">
        <v>4.92</v>
      </c>
      <c r="G27" s="12">
        <v>9</v>
      </c>
      <c r="H27" s="8">
        <v>9.09</v>
      </c>
      <c r="I27" s="12">
        <v>0</v>
      </c>
    </row>
    <row r="28" spans="2:9" ht="15" customHeight="1" x14ac:dyDescent="0.2">
      <c r="B28" t="s">
        <v>86</v>
      </c>
      <c r="C28" s="12">
        <v>13</v>
      </c>
      <c r="D28" s="8">
        <v>5.86</v>
      </c>
      <c r="E28" s="12">
        <v>5</v>
      </c>
      <c r="F28" s="8">
        <v>4.0999999999999996</v>
      </c>
      <c r="G28" s="12">
        <v>8</v>
      </c>
      <c r="H28" s="8">
        <v>8.08</v>
      </c>
      <c r="I28" s="12">
        <v>0</v>
      </c>
    </row>
    <row r="29" spans="2:9" ht="15" customHeight="1" x14ac:dyDescent="0.2">
      <c r="B29" t="s">
        <v>90</v>
      </c>
      <c r="C29" s="12">
        <v>13</v>
      </c>
      <c r="D29" s="8">
        <v>5.86</v>
      </c>
      <c r="E29" s="12">
        <v>11</v>
      </c>
      <c r="F29" s="8">
        <v>9.02</v>
      </c>
      <c r="G29" s="12">
        <v>2</v>
      </c>
      <c r="H29" s="8">
        <v>2.02</v>
      </c>
      <c r="I29" s="12">
        <v>0</v>
      </c>
    </row>
    <row r="30" spans="2:9" ht="15" customHeight="1" x14ac:dyDescent="0.2">
      <c r="B30" t="s">
        <v>111</v>
      </c>
      <c r="C30" s="12">
        <v>11</v>
      </c>
      <c r="D30" s="8">
        <v>4.95</v>
      </c>
      <c r="E30" s="12">
        <v>8</v>
      </c>
      <c r="F30" s="8">
        <v>6.56</v>
      </c>
      <c r="G30" s="12">
        <v>3</v>
      </c>
      <c r="H30" s="8">
        <v>3.03</v>
      </c>
      <c r="I30" s="12">
        <v>0</v>
      </c>
    </row>
    <row r="31" spans="2:9" ht="15" customHeight="1" x14ac:dyDescent="0.2">
      <c r="B31" t="s">
        <v>91</v>
      </c>
      <c r="C31" s="12">
        <v>10</v>
      </c>
      <c r="D31" s="8">
        <v>4.5</v>
      </c>
      <c r="E31" s="12">
        <v>6</v>
      </c>
      <c r="F31" s="8">
        <v>4.92</v>
      </c>
      <c r="G31" s="12">
        <v>4</v>
      </c>
      <c r="H31" s="8">
        <v>4.04</v>
      </c>
      <c r="I31" s="12">
        <v>0</v>
      </c>
    </row>
    <row r="32" spans="2:9" ht="15" customHeight="1" x14ac:dyDescent="0.2">
      <c r="B32" t="s">
        <v>92</v>
      </c>
      <c r="C32" s="12">
        <v>9</v>
      </c>
      <c r="D32" s="8">
        <v>4.05</v>
      </c>
      <c r="E32" s="12">
        <v>4</v>
      </c>
      <c r="F32" s="8">
        <v>3.28</v>
      </c>
      <c r="G32" s="12">
        <v>5</v>
      </c>
      <c r="H32" s="8">
        <v>5.05</v>
      </c>
      <c r="I32" s="12">
        <v>0</v>
      </c>
    </row>
    <row r="33" spans="2:9" ht="15" customHeight="1" x14ac:dyDescent="0.2">
      <c r="B33" t="s">
        <v>110</v>
      </c>
      <c r="C33" s="12">
        <v>7</v>
      </c>
      <c r="D33" s="8">
        <v>3.15</v>
      </c>
      <c r="E33" s="12">
        <v>2</v>
      </c>
      <c r="F33" s="8">
        <v>1.64</v>
      </c>
      <c r="G33" s="12">
        <v>5</v>
      </c>
      <c r="H33" s="8">
        <v>5.05</v>
      </c>
      <c r="I33" s="12">
        <v>0</v>
      </c>
    </row>
    <row r="34" spans="2:9" ht="15" customHeight="1" x14ac:dyDescent="0.2">
      <c r="B34" t="s">
        <v>89</v>
      </c>
      <c r="C34" s="12">
        <v>6</v>
      </c>
      <c r="D34" s="8">
        <v>2.7</v>
      </c>
      <c r="E34" s="12">
        <v>5</v>
      </c>
      <c r="F34" s="8">
        <v>4.0999999999999996</v>
      </c>
      <c r="G34" s="12">
        <v>1</v>
      </c>
      <c r="H34" s="8">
        <v>1.01</v>
      </c>
      <c r="I34" s="12">
        <v>0</v>
      </c>
    </row>
    <row r="35" spans="2:9" ht="15" customHeight="1" x14ac:dyDescent="0.2">
      <c r="B35" t="s">
        <v>101</v>
      </c>
      <c r="C35" s="12">
        <v>5</v>
      </c>
      <c r="D35" s="8">
        <v>2.25</v>
      </c>
      <c r="E35" s="12">
        <v>4</v>
      </c>
      <c r="F35" s="8">
        <v>3.28</v>
      </c>
      <c r="G35" s="12">
        <v>1</v>
      </c>
      <c r="H35" s="8">
        <v>1.01</v>
      </c>
      <c r="I35" s="12">
        <v>0</v>
      </c>
    </row>
    <row r="36" spans="2:9" ht="15" customHeight="1" x14ac:dyDescent="0.2">
      <c r="B36" t="s">
        <v>106</v>
      </c>
      <c r="C36" s="12">
        <v>4</v>
      </c>
      <c r="D36" s="8">
        <v>1.8</v>
      </c>
      <c r="E36" s="12">
        <v>1</v>
      </c>
      <c r="F36" s="8">
        <v>0.82</v>
      </c>
      <c r="G36" s="12">
        <v>3</v>
      </c>
      <c r="H36" s="8">
        <v>3.03</v>
      </c>
      <c r="I36" s="12">
        <v>0</v>
      </c>
    </row>
    <row r="37" spans="2:9" ht="15" customHeight="1" x14ac:dyDescent="0.2">
      <c r="B37" t="s">
        <v>119</v>
      </c>
      <c r="C37" s="12">
        <v>4</v>
      </c>
      <c r="D37" s="8">
        <v>1.8</v>
      </c>
      <c r="E37" s="12">
        <v>4</v>
      </c>
      <c r="F37" s="8">
        <v>3.28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94</v>
      </c>
      <c r="C38" s="12">
        <v>4</v>
      </c>
      <c r="D38" s="8">
        <v>1.8</v>
      </c>
      <c r="E38" s="12">
        <v>0</v>
      </c>
      <c r="F38" s="8">
        <v>0</v>
      </c>
      <c r="G38" s="12">
        <v>4</v>
      </c>
      <c r="H38" s="8">
        <v>4.04</v>
      </c>
      <c r="I38" s="12">
        <v>0</v>
      </c>
    </row>
    <row r="39" spans="2:9" ht="15" customHeight="1" x14ac:dyDescent="0.2">
      <c r="B39" t="s">
        <v>103</v>
      </c>
      <c r="C39" s="12">
        <v>4</v>
      </c>
      <c r="D39" s="8">
        <v>1.8</v>
      </c>
      <c r="E39" s="12">
        <v>2</v>
      </c>
      <c r="F39" s="8">
        <v>1.64</v>
      </c>
      <c r="G39" s="12">
        <v>2</v>
      </c>
      <c r="H39" s="8">
        <v>2.02</v>
      </c>
      <c r="I39" s="12">
        <v>0</v>
      </c>
    </row>
    <row r="40" spans="2:9" ht="15" customHeight="1" x14ac:dyDescent="0.2">
      <c r="B40" t="s">
        <v>105</v>
      </c>
      <c r="C40" s="12">
        <v>4</v>
      </c>
      <c r="D40" s="8">
        <v>1.8</v>
      </c>
      <c r="E40" s="12">
        <v>0</v>
      </c>
      <c r="F40" s="8">
        <v>0</v>
      </c>
      <c r="G40" s="12">
        <v>4</v>
      </c>
      <c r="H40" s="8">
        <v>4.04</v>
      </c>
      <c r="I40" s="12">
        <v>0</v>
      </c>
    </row>
    <row r="41" spans="2:9" ht="15" customHeight="1" x14ac:dyDescent="0.2">
      <c r="B41" t="s">
        <v>117</v>
      </c>
      <c r="C41" s="12">
        <v>3</v>
      </c>
      <c r="D41" s="8">
        <v>1.35</v>
      </c>
      <c r="E41" s="12">
        <v>1</v>
      </c>
      <c r="F41" s="8">
        <v>0.82</v>
      </c>
      <c r="G41" s="12">
        <v>2</v>
      </c>
      <c r="H41" s="8">
        <v>2.02</v>
      </c>
      <c r="I41" s="12">
        <v>0</v>
      </c>
    </row>
    <row r="42" spans="2:9" ht="15" customHeight="1" x14ac:dyDescent="0.2">
      <c r="B42" t="s">
        <v>109</v>
      </c>
      <c r="C42" s="12">
        <v>3</v>
      </c>
      <c r="D42" s="8">
        <v>1.35</v>
      </c>
      <c r="E42" s="12">
        <v>0</v>
      </c>
      <c r="F42" s="8">
        <v>0</v>
      </c>
      <c r="G42" s="12">
        <v>3</v>
      </c>
      <c r="H42" s="8">
        <v>3.03</v>
      </c>
      <c r="I42" s="12">
        <v>0</v>
      </c>
    </row>
    <row r="43" spans="2:9" ht="15" customHeight="1" x14ac:dyDescent="0.2">
      <c r="B43" t="s">
        <v>87</v>
      </c>
      <c r="C43" s="12">
        <v>3</v>
      </c>
      <c r="D43" s="8">
        <v>1.35</v>
      </c>
      <c r="E43" s="12">
        <v>1</v>
      </c>
      <c r="F43" s="8">
        <v>0.82</v>
      </c>
      <c r="G43" s="12">
        <v>2</v>
      </c>
      <c r="H43" s="8">
        <v>2.02</v>
      </c>
      <c r="I43" s="12">
        <v>0</v>
      </c>
    </row>
    <row r="44" spans="2:9" ht="15" customHeight="1" x14ac:dyDescent="0.2">
      <c r="B44" t="s">
        <v>96</v>
      </c>
      <c r="C44" s="12">
        <v>3</v>
      </c>
      <c r="D44" s="8">
        <v>1.35</v>
      </c>
      <c r="E44" s="12">
        <v>1</v>
      </c>
      <c r="F44" s="8">
        <v>0.82</v>
      </c>
      <c r="G44" s="12">
        <v>2</v>
      </c>
      <c r="H44" s="8">
        <v>2.02</v>
      </c>
      <c r="I44" s="12">
        <v>0</v>
      </c>
    </row>
    <row r="47" spans="2:9" ht="33" customHeight="1" x14ac:dyDescent="0.2">
      <c r="B47" t="s">
        <v>250</v>
      </c>
      <c r="C47" s="10" t="s">
        <v>77</v>
      </c>
      <c r="D47" s="10" t="s">
        <v>78</v>
      </c>
      <c r="E47" s="10" t="s">
        <v>79</v>
      </c>
      <c r="F47" s="10" t="s">
        <v>80</v>
      </c>
      <c r="G47" s="10" t="s">
        <v>81</v>
      </c>
      <c r="H47" s="10" t="s">
        <v>82</v>
      </c>
      <c r="I47" s="10" t="s">
        <v>83</v>
      </c>
    </row>
    <row r="48" spans="2:9" ht="15" customHeight="1" x14ac:dyDescent="0.2">
      <c r="B48" t="s">
        <v>164</v>
      </c>
      <c r="C48" s="12">
        <v>12</v>
      </c>
      <c r="D48" s="8">
        <v>5.41</v>
      </c>
      <c r="E48" s="12">
        <v>12</v>
      </c>
      <c r="F48" s="8">
        <v>9.84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163</v>
      </c>
      <c r="C49" s="12">
        <v>11</v>
      </c>
      <c r="D49" s="8">
        <v>4.95</v>
      </c>
      <c r="E49" s="12">
        <v>11</v>
      </c>
      <c r="F49" s="8">
        <v>9.02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161</v>
      </c>
      <c r="C50" s="12">
        <v>10</v>
      </c>
      <c r="D50" s="8">
        <v>4.5</v>
      </c>
      <c r="E50" s="12">
        <v>6</v>
      </c>
      <c r="F50" s="8">
        <v>4.92</v>
      </c>
      <c r="G50" s="12">
        <v>4</v>
      </c>
      <c r="H50" s="8">
        <v>4.04</v>
      </c>
      <c r="I50" s="12">
        <v>0</v>
      </c>
    </row>
    <row r="51" spans="2:9" ht="15" customHeight="1" x14ac:dyDescent="0.2">
      <c r="B51" t="s">
        <v>194</v>
      </c>
      <c r="C51" s="12">
        <v>8</v>
      </c>
      <c r="D51" s="8">
        <v>3.6</v>
      </c>
      <c r="E51" s="12">
        <v>6</v>
      </c>
      <c r="F51" s="8">
        <v>4.92</v>
      </c>
      <c r="G51" s="12">
        <v>2</v>
      </c>
      <c r="H51" s="8">
        <v>2.02</v>
      </c>
      <c r="I51" s="12">
        <v>0</v>
      </c>
    </row>
    <row r="52" spans="2:9" ht="15" customHeight="1" x14ac:dyDescent="0.2">
      <c r="B52" t="s">
        <v>155</v>
      </c>
      <c r="C52" s="12">
        <v>7</v>
      </c>
      <c r="D52" s="8">
        <v>3.15</v>
      </c>
      <c r="E52" s="12">
        <v>4</v>
      </c>
      <c r="F52" s="8">
        <v>3.28</v>
      </c>
      <c r="G52" s="12">
        <v>3</v>
      </c>
      <c r="H52" s="8">
        <v>3.03</v>
      </c>
      <c r="I52" s="12">
        <v>0</v>
      </c>
    </row>
    <row r="53" spans="2:9" ht="15" customHeight="1" x14ac:dyDescent="0.2">
      <c r="B53" t="s">
        <v>148</v>
      </c>
      <c r="C53" s="12">
        <v>6</v>
      </c>
      <c r="D53" s="8">
        <v>2.7</v>
      </c>
      <c r="E53" s="12">
        <v>0</v>
      </c>
      <c r="F53" s="8">
        <v>0</v>
      </c>
      <c r="G53" s="12">
        <v>6</v>
      </c>
      <c r="H53" s="8">
        <v>6.06</v>
      </c>
      <c r="I53" s="12">
        <v>0</v>
      </c>
    </row>
    <row r="54" spans="2:9" ht="15" customHeight="1" x14ac:dyDescent="0.2">
      <c r="B54" t="s">
        <v>169</v>
      </c>
      <c r="C54" s="12">
        <v>6</v>
      </c>
      <c r="D54" s="8">
        <v>2.7</v>
      </c>
      <c r="E54" s="12">
        <v>4</v>
      </c>
      <c r="F54" s="8">
        <v>3.28</v>
      </c>
      <c r="G54" s="12">
        <v>2</v>
      </c>
      <c r="H54" s="8">
        <v>2.02</v>
      </c>
      <c r="I54" s="12">
        <v>0</v>
      </c>
    </row>
    <row r="55" spans="2:9" ht="15" customHeight="1" x14ac:dyDescent="0.2">
      <c r="B55" t="s">
        <v>150</v>
      </c>
      <c r="C55" s="12">
        <v>5</v>
      </c>
      <c r="D55" s="8">
        <v>2.25</v>
      </c>
      <c r="E55" s="12">
        <v>3</v>
      </c>
      <c r="F55" s="8">
        <v>2.46</v>
      </c>
      <c r="G55" s="12">
        <v>2</v>
      </c>
      <c r="H55" s="8">
        <v>2.02</v>
      </c>
      <c r="I55" s="12">
        <v>0</v>
      </c>
    </row>
    <row r="56" spans="2:9" ht="15" customHeight="1" x14ac:dyDescent="0.2">
      <c r="B56" t="s">
        <v>196</v>
      </c>
      <c r="C56" s="12">
        <v>5</v>
      </c>
      <c r="D56" s="8">
        <v>2.25</v>
      </c>
      <c r="E56" s="12">
        <v>2</v>
      </c>
      <c r="F56" s="8">
        <v>1.64</v>
      </c>
      <c r="G56" s="12">
        <v>3</v>
      </c>
      <c r="H56" s="8">
        <v>3.03</v>
      </c>
      <c r="I56" s="12">
        <v>0</v>
      </c>
    </row>
    <row r="57" spans="2:9" ht="15" customHeight="1" x14ac:dyDescent="0.2">
      <c r="B57" t="s">
        <v>152</v>
      </c>
      <c r="C57" s="12">
        <v>5</v>
      </c>
      <c r="D57" s="8">
        <v>2.25</v>
      </c>
      <c r="E57" s="12">
        <v>3</v>
      </c>
      <c r="F57" s="8">
        <v>2.46</v>
      </c>
      <c r="G57" s="12">
        <v>2</v>
      </c>
      <c r="H57" s="8">
        <v>2.02</v>
      </c>
      <c r="I57" s="12">
        <v>0</v>
      </c>
    </row>
    <row r="58" spans="2:9" ht="15" customHeight="1" x14ac:dyDescent="0.2">
      <c r="B58" t="s">
        <v>153</v>
      </c>
      <c r="C58" s="12">
        <v>5</v>
      </c>
      <c r="D58" s="8">
        <v>2.25</v>
      </c>
      <c r="E58" s="12">
        <v>2</v>
      </c>
      <c r="F58" s="8">
        <v>1.64</v>
      </c>
      <c r="G58" s="12">
        <v>3</v>
      </c>
      <c r="H58" s="8">
        <v>3.03</v>
      </c>
      <c r="I58" s="12">
        <v>0</v>
      </c>
    </row>
    <row r="59" spans="2:9" ht="15" customHeight="1" x14ac:dyDescent="0.2">
      <c r="B59" t="s">
        <v>154</v>
      </c>
      <c r="C59" s="12">
        <v>5</v>
      </c>
      <c r="D59" s="8">
        <v>2.25</v>
      </c>
      <c r="E59" s="12">
        <v>4</v>
      </c>
      <c r="F59" s="8">
        <v>3.28</v>
      </c>
      <c r="G59" s="12">
        <v>1</v>
      </c>
      <c r="H59" s="8">
        <v>1.01</v>
      </c>
      <c r="I59" s="12">
        <v>0</v>
      </c>
    </row>
    <row r="60" spans="2:9" ht="15" customHeight="1" x14ac:dyDescent="0.2">
      <c r="B60" t="s">
        <v>162</v>
      </c>
      <c r="C60" s="12">
        <v>5</v>
      </c>
      <c r="D60" s="8">
        <v>2.25</v>
      </c>
      <c r="E60" s="12">
        <v>5</v>
      </c>
      <c r="F60" s="8">
        <v>4.0999999999999996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149</v>
      </c>
      <c r="C61" s="12">
        <v>4</v>
      </c>
      <c r="D61" s="8">
        <v>1.8</v>
      </c>
      <c r="E61" s="12">
        <v>0</v>
      </c>
      <c r="F61" s="8">
        <v>0</v>
      </c>
      <c r="G61" s="12">
        <v>4</v>
      </c>
      <c r="H61" s="8">
        <v>4.04</v>
      </c>
      <c r="I61" s="12">
        <v>0</v>
      </c>
    </row>
    <row r="62" spans="2:9" ht="15" customHeight="1" x14ac:dyDescent="0.2">
      <c r="B62" t="s">
        <v>156</v>
      </c>
      <c r="C62" s="12">
        <v>4</v>
      </c>
      <c r="D62" s="8">
        <v>1.8</v>
      </c>
      <c r="E62" s="12">
        <v>3</v>
      </c>
      <c r="F62" s="8">
        <v>2.46</v>
      </c>
      <c r="G62" s="12">
        <v>1</v>
      </c>
      <c r="H62" s="8">
        <v>1.01</v>
      </c>
      <c r="I62" s="12">
        <v>0</v>
      </c>
    </row>
    <row r="63" spans="2:9" ht="15" customHeight="1" x14ac:dyDescent="0.2">
      <c r="B63" t="s">
        <v>167</v>
      </c>
      <c r="C63" s="12">
        <v>4</v>
      </c>
      <c r="D63" s="8">
        <v>1.8</v>
      </c>
      <c r="E63" s="12">
        <v>2</v>
      </c>
      <c r="F63" s="8">
        <v>1.64</v>
      </c>
      <c r="G63" s="12">
        <v>2</v>
      </c>
      <c r="H63" s="8">
        <v>2.02</v>
      </c>
      <c r="I63" s="12">
        <v>0</v>
      </c>
    </row>
    <row r="64" spans="2:9" ht="15" customHeight="1" x14ac:dyDescent="0.2">
      <c r="B64" t="s">
        <v>197</v>
      </c>
      <c r="C64" s="12">
        <v>3</v>
      </c>
      <c r="D64" s="8">
        <v>1.35</v>
      </c>
      <c r="E64" s="12">
        <v>1</v>
      </c>
      <c r="F64" s="8">
        <v>0.82</v>
      </c>
      <c r="G64" s="12">
        <v>2</v>
      </c>
      <c r="H64" s="8">
        <v>2.02</v>
      </c>
      <c r="I64" s="12">
        <v>0</v>
      </c>
    </row>
    <row r="65" spans="2:9" ht="15" customHeight="1" x14ac:dyDescent="0.2">
      <c r="B65" t="s">
        <v>175</v>
      </c>
      <c r="C65" s="12">
        <v>3</v>
      </c>
      <c r="D65" s="8">
        <v>1.35</v>
      </c>
      <c r="E65" s="12">
        <v>0</v>
      </c>
      <c r="F65" s="8">
        <v>0</v>
      </c>
      <c r="G65" s="12">
        <v>3</v>
      </c>
      <c r="H65" s="8">
        <v>3.03</v>
      </c>
      <c r="I65" s="12">
        <v>0</v>
      </c>
    </row>
    <row r="66" spans="2:9" ht="15" customHeight="1" x14ac:dyDescent="0.2">
      <c r="B66" t="s">
        <v>174</v>
      </c>
      <c r="C66" s="12">
        <v>3</v>
      </c>
      <c r="D66" s="8">
        <v>1.35</v>
      </c>
      <c r="E66" s="12">
        <v>2</v>
      </c>
      <c r="F66" s="8">
        <v>1.64</v>
      </c>
      <c r="G66" s="12">
        <v>1</v>
      </c>
      <c r="H66" s="8">
        <v>1.01</v>
      </c>
      <c r="I66" s="12">
        <v>0</v>
      </c>
    </row>
    <row r="67" spans="2:9" ht="15" customHeight="1" x14ac:dyDescent="0.2">
      <c r="B67" t="s">
        <v>187</v>
      </c>
      <c r="C67" s="12">
        <v>3</v>
      </c>
      <c r="D67" s="8">
        <v>1.35</v>
      </c>
      <c r="E67" s="12">
        <v>1</v>
      </c>
      <c r="F67" s="8">
        <v>0.82</v>
      </c>
      <c r="G67" s="12">
        <v>2</v>
      </c>
      <c r="H67" s="8">
        <v>2.02</v>
      </c>
      <c r="I67" s="12">
        <v>0</v>
      </c>
    </row>
    <row r="68" spans="2:9" ht="15" customHeight="1" x14ac:dyDescent="0.2">
      <c r="B68" t="s">
        <v>233</v>
      </c>
      <c r="C68" s="12">
        <v>3</v>
      </c>
      <c r="D68" s="8">
        <v>1.35</v>
      </c>
      <c r="E68" s="12">
        <v>1</v>
      </c>
      <c r="F68" s="8">
        <v>0.82</v>
      </c>
      <c r="G68" s="12">
        <v>2</v>
      </c>
      <c r="H68" s="8">
        <v>2.02</v>
      </c>
      <c r="I68" s="12">
        <v>0</v>
      </c>
    </row>
    <row r="69" spans="2:9" ht="15" customHeight="1" x14ac:dyDescent="0.2">
      <c r="B69" t="s">
        <v>203</v>
      </c>
      <c r="C69" s="12">
        <v>3</v>
      </c>
      <c r="D69" s="8">
        <v>1.35</v>
      </c>
      <c r="E69" s="12">
        <v>0</v>
      </c>
      <c r="F69" s="8">
        <v>0</v>
      </c>
      <c r="G69" s="12">
        <v>3</v>
      </c>
      <c r="H69" s="8">
        <v>3.03</v>
      </c>
      <c r="I69" s="12">
        <v>0</v>
      </c>
    </row>
    <row r="70" spans="2:9" ht="15" customHeight="1" x14ac:dyDescent="0.2">
      <c r="B70" t="s">
        <v>177</v>
      </c>
      <c r="C70" s="12">
        <v>3</v>
      </c>
      <c r="D70" s="8">
        <v>1.35</v>
      </c>
      <c r="E70" s="12">
        <v>2</v>
      </c>
      <c r="F70" s="8">
        <v>1.64</v>
      </c>
      <c r="G70" s="12">
        <v>1</v>
      </c>
      <c r="H70" s="8">
        <v>1.01</v>
      </c>
      <c r="I70" s="12">
        <v>0</v>
      </c>
    </row>
    <row r="71" spans="2:9" ht="15" customHeight="1" x14ac:dyDescent="0.2">
      <c r="B71" t="s">
        <v>204</v>
      </c>
      <c r="C71" s="12">
        <v>3</v>
      </c>
      <c r="D71" s="8">
        <v>1.35</v>
      </c>
      <c r="E71" s="12">
        <v>2</v>
      </c>
      <c r="F71" s="8">
        <v>1.64</v>
      </c>
      <c r="G71" s="12">
        <v>1</v>
      </c>
      <c r="H71" s="8">
        <v>1.01</v>
      </c>
      <c r="I71" s="12">
        <v>0</v>
      </c>
    </row>
    <row r="72" spans="2:9" ht="15" customHeight="1" x14ac:dyDescent="0.2">
      <c r="B72" t="s">
        <v>191</v>
      </c>
      <c r="C72" s="12">
        <v>3</v>
      </c>
      <c r="D72" s="8">
        <v>1.35</v>
      </c>
      <c r="E72" s="12">
        <v>0</v>
      </c>
      <c r="F72" s="8">
        <v>0</v>
      </c>
      <c r="G72" s="12">
        <v>3</v>
      </c>
      <c r="H72" s="8">
        <v>3.03</v>
      </c>
      <c r="I72" s="12">
        <v>0</v>
      </c>
    </row>
    <row r="73" spans="2:9" ht="15" customHeight="1" x14ac:dyDescent="0.2">
      <c r="B73" t="s">
        <v>193</v>
      </c>
      <c r="C73" s="12">
        <v>3</v>
      </c>
      <c r="D73" s="8">
        <v>1.35</v>
      </c>
      <c r="E73" s="12">
        <v>3</v>
      </c>
      <c r="F73" s="8">
        <v>2.46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166</v>
      </c>
      <c r="C74" s="12">
        <v>3</v>
      </c>
      <c r="D74" s="8">
        <v>1.35</v>
      </c>
      <c r="E74" s="12">
        <v>2</v>
      </c>
      <c r="F74" s="8">
        <v>1.64</v>
      </c>
      <c r="G74" s="12">
        <v>1</v>
      </c>
      <c r="H74" s="8">
        <v>1.01</v>
      </c>
      <c r="I74" s="12">
        <v>0</v>
      </c>
    </row>
    <row r="75" spans="2:9" ht="15" customHeight="1" x14ac:dyDescent="0.2">
      <c r="B75" t="s">
        <v>186</v>
      </c>
      <c r="C75" s="12">
        <v>3</v>
      </c>
      <c r="D75" s="8">
        <v>1.35</v>
      </c>
      <c r="E75" s="12">
        <v>0</v>
      </c>
      <c r="F75" s="8">
        <v>0</v>
      </c>
      <c r="G75" s="12">
        <v>3</v>
      </c>
      <c r="H75" s="8">
        <v>3.03</v>
      </c>
      <c r="I75" s="12">
        <v>0</v>
      </c>
    </row>
    <row r="77" spans="2:9" ht="15" customHeight="1" x14ac:dyDescent="0.2">
      <c r="B77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0A796-5D57-4579-A054-BB1575EC1332}">
  <sheetPr>
    <pageSetUpPr fitToPage="1"/>
  </sheetPr>
  <dimension ref="B2:I9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307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33</v>
      </c>
      <c r="D6" s="8">
        <v>22.15</v>
      </c>
      <c r="E6" s="12">
        <v>11</v>
      </c>
      <c r="F6" s="8">
        <v>15.71</v>
      </c>
      <c r="G6" s="12">
        <v>22</v>
      </c>
      <c r="H6" s="8">
        <v>28.57</v>
      </c>
      <c r="I6" s="12">
        <v>0</v>
      </c>
    </row>
    <row r="7" spans="2:9" ht="15" customHeight="1" x14ac:dyDescent="0.2">
      <c r="B7" t="s">
        <v>63</v>
      </c>
      <c r="C7" s="12">
        <v>29</v>
      </c>
      <c r="D7" s="8">
        <v>19.46</v>
      </c>
      <c r="E7" s="12">
        <v>7</v>
      </c>
      <c r="F7" s="8">
        <v>10</v>
      </c>
      <c r="G7" s="12">
        <v>22</v>
      </c>
      <c r="H7" s="8">
        <v>28.57</v>
      </c>
      <c r="I7" s="12">
        <v>0</v>
      </c>
    </row>
    <row r="8" spans="2:9" ht="15" customHeight="1" x14ac:dyDescent="0.2">
      <c r="B8" t="s">
        <v>64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67</v>
      </c>
      <c r="C11" s="12">
        <v>25</v>
      </c>
      <c r="D11" s="8">
        <v>16.78</v>
      </c>
      <c r="E11" s="12">
        <v>16</v>
      </c>
      <c r="F11" s="8">
        <v>22.86</v>
      </c>
      <c r="G11" s="12">
        <v>9</v>
      </c>
      <c r="H11" s="8">
        <v>11.69</v>
      </c>
      <c r="I11" s="12">
        <v>0</v>
      </c>
    </row>
    <row r="12" spans="2:9" ht="15" customHeight="1" x14ac:dyDescent="0.2">
      <c r="B12" t="s">
        <v>68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69</v>
      </c>
      <c r="C13" s="12">
        <v>7</v>
      </c>
      <c r="D13" s="8">
        <v>4.7</v>
      </c>
      <c r="E13" s="12">
        <v>1</v>
      </c>
      <c r="F13" s="8">
        <v>1.43</v>
      </c>
      <c r="G13" s="12">
        <v>6</v>
      </c>
      <c r="H13" s="8">
        <v>7.79</v>
      </c>
      <c r="I13" s="12">
        <v>0</v>
      </c>
    </row>
    <row r="14" spans="2:9" ht="15" customHeight="1" x14ac:dyDescent="0.2">
      <c r="B14" t="s">
        <v>70</v>
      </c>
      <c r="C14" s="12">
        <v>5</v>
      </c>
      <c r="D14" s="8">
        <v>3.36</v>
      </c>
      <c r="E14" s="12">
        <v>2</v>
      </c>
      <c r="F14" s="8">
        <v>2.86</v>
      </c>
      <c r="G14" s="12">
        <v>3</v>
      </c>
      <c r="H14" s="8">
        <v>3.9</v>
      </c>
      <c r="I14" s="12">
        <v>0</v>
      </c>
    </row>
    <row r="15" spans="2:9" ht="15" customHeight="1" x14ac:dyDescent="0.2">
      <c r="B15" t="s">
        <v>71</v>
      </c>
      <c r="C15" s="12">
        <v>18</v>
      </c>
      <c r="D15" s="8">
        <v>12.08</v>
      </c>
      <c r="E15" s="12">
        <v>13</v>
      </c>
      <c r="F15" s="8">
        <v>18.57</v>
      </c>
      <c r="G15" s="12">
        <v>4</v>
      </c>
      <c r="H15" s="8">
        <v>5.19</v>
      </c>
      <c r="I15" s="12">
        <v>0</v>
      </c>
    </row>
    <row r="16" spans="2:9" ht="15" customHeight="1" x14ac:dyDescent="0.2">
      <c r="B16" t="s">
        <v>72</v>
      </c>
      <c r="C16" s="12">
        <v>13</v>
      </c>
      <c r="D16" s="8">
        <v>8.7200000000000006</v>
      </c>
      <c r="E16" s="12">
        <v>13</v>
      </c>
      <c r="F16" s="8">
        <v>18.57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73</v>
      </c>
      <c r="C17" s="12">
        <v>3</v>
      </c>
      <c r="D17" s="8">
        <v>2.0099999999999998</v>
      </c>
      <c r="E17" s="12">
        <v>2</v>
      </c>
      <c r="F17" s="8">
        <v>2.86</v>
      </c>
      <c r="G17" s="12">
        <v>1</v>
      </c>
      <c r="H17" s="8">
        <v>1.3</v>
      </c>
      <c r="I17" s="12">
        <v>0</v>
      </c>
    </row>
    <row r="18" spans="2:9" ht="15" customHeight="1" x14ac:dyDescent="0.2">
      <c r="B18" t="s">
        <v>74</v>
      </c>
      <c r="C18" s="12">
        <v>2</v>
      </c>
      <c r="D18" s="8">
        <v>1.34</v>
      </c>
      <c r="E18" s="12">
        <v>1</v>
      </c>
      <c r="F18" s="8">
        <v>1.43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75</v>
      </c>
      <c r="C19" s="12">
        <v>14</v>
      </c>
      <c r="D19" s="8">
        <v>9.4</v>
      </c>
      <c r="E19" s="12">
        <v>4</v>
      </c>
      <c r="F19" s="8">
        <v>5.71</v>
      </c>
      <c r="G19" s="12">
        <v>10</v>
      </c>
      <c r="H19" s="8">
        <v>12.99</v>
      </c>
      <c r="I19" s="12">
        <v>0</v>
      </c>
    </row>
    <row r="20" spans="2:9" ht="15" customHeight="1" x14ac:dyDescent="0.2">
      <c r="B20" s="9" t="s">
        <v>248</v>
      </c>
      <c r="C20" s="12">
        <f>SUM(LTBL_12426[総数／事業所数])</f>
        <v>149</v>
      </c>
      <c r="E20" s="12">
        <f>SUBTOTAL(109,LTBL_12426[個人／事業所数])</f>
        <v>70</v>
      </c>
      <c r="G20" s="12">
        <f>SUBTOTAL(109,LTBL_12426[法人／事業所数])</f>
        <v>77</v>
      </c>
      <c r="I20" s="12">
        <f>SUBTOTAL(109,LTBL_12426[法人以外の団体／事業所数])</f>
        <v>0</v>
      </c>
    </row>
    <row r="21" spans="2:9" ht="15" customHeight="1" x14ac:dyDescent="0.2">
      <c r="E21" s="11">
        <f>LTBL_12426[[#Totals],[個人／事業所数]]/LTBL_12426[[#Totals],[総数／事業所数]]</f>
        <v>0.46979865771812079</v>
      </c>
      <c r="G21" s="11">
        <f>LTBL_12426[[#Totals],[法人／事業所数]]/LTBL_12426[[#Totals],[総数／事業所数]]</f>
        <v>0.51677852348993292</v>
      </c>
      <c r="I21" s="11">
        <f>LTBL_12426[[#Totals],[法人以外の団体／事業所数]]/LTBL_12426[[#Totals],[総数／事業所数]]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84</v>
      </c>
      <c r="C24" s="12">
        <v>16</v>
      </c>
      <c r="D24" s="8">
        <v>10.74</v>
      </c>
      <c r="E24" s="12">
        <v>7</v>
      </c>
      <c r="F24" s="8">
        <v>10</v>
      </c>
      <c r="G24" s="12">
        <v>9</v>
      </c>
      <c r="H24" s="8">
        <v>11.69</v>
      </c>
      <c r="I24" s="12">
        <v>0</v>
      </c>
    </row>
    <row r="25" spans="2:9" ht="15" customHeight="1" x14ac:dyDescent="0.2">
      <c r="B25" t="s">
        <v>97</v>
      </c>
      <c r="C25" s="12">
        <v>15</v>
      </c>
      <c r="D25" s="8">
        <v>10.07</v>
      </c>
      <c r="E25" s="12">
        <v>12</v>
      </c>
      <c r="F25" s="8">
        <v>17.14</v>
      </c>
      <c r="G25" s="12">
        <v>3</v>
      </c>
      <c r="H25" s="8">
        <v>3.9</v>
      </c>
      <c r="I25" s="12">
        <v>0</v>
      </c>
    </row>
    <row r="26" spans="2:9" ht="15" customHeight="1" x14ac:dyDescent="0.2">
      <c r="B26" t="s">
        <v>86</v>
      </c>
      <c r="C26" s="12">
        <v>12</v>
      </c>
      <c r="D26" s="8">
        <v>8.0500000000000007</v>
      </c>
      <c r="E26" s="12">
        <v>1</v>
      </c>
      <c r="F26" s="8">
        <v>1.43</v>
      </c>
      <c r="G26" s="12">
        <v>11</v>
      </c>
      <c r="H26" s="8">
        <v>14.29</v>
      </c>
      <c r="I26" s="12">
        <v>0</v>
      </c>
    </row>
    <row r="27" spans="2:9" ht="15" customHeight="1" x14ac:dyDescent="0.2">
      <c r="B27" t="s">
        <v>98</v>
      </c>
      <c r="C27" s="12">
        <v>12</v>
      </c>
      <c r="D27" s="8">
        <v>8.0500000000000007</v>
      </c>
      <c r="E27" s="12">
        <v>12</v>
      </c>
      <c r="F27" s="8">
        <v>17.14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92</v>
      </c>
      <c r="C28" s="12">
        <v>10</v>
      </c>
      <c r="D28" s="8">
        <v>6.71</v>
      </c>
      <c r="E28" s="12">
        <v>6</v>
      </c>
      <c r="F28" s="8">
        <v>8.57</v>
      </c>
      <c r="G28" s="12">
        <v>4</v>
      </c>
      <c r="H28" s="8">
        <v>5.19</v>
      </c>
      <c r="I28" s="12">
        <v>0</v>
      </c>
    </row>
    <row r="29" spans="2:9" ht="15" customHeight="1" x14ac:dyDescent="0.2">
      <c r="B29" t="s">
        <v>90</v>
      </c>
      <c r="C29" s="12">
        <v>9</v>
      </c>
      <c r="D29" s="8">
        <v>6.04</v>
      </c>
      <c r="E29" s="12">
        <v>7</v>
      </c>
      <c r="F29" s="8">
        <v>10</v>
      </c>
      <c r="G29" s="12">
        <v>2</v>
      </c>
      <c r="H29" s="8">
        <v>2.6</v>
      </c>
      <c r="I29" s="12">
        <v>0</v>
      </c>
    </row>
    <row r="30" spans="2:9" ht="15" customHeight="1" x14ac:dyDescent="0.2">
      <c r="B30" t="s">
        <v>103</v>
      </c>
      <c r="C30" s="12">
        <v>6</v>
      </c>
      <c r="D30" s="8">
        <v>4.03</v>
      </c>
      <c r="E30" s="12">
        <v>4</v>
      </c>
      <c r="F30" s="8">
        <v>5.71</v>
      </c>
      <c r="G30" s="12">
        <v>2</v>
      </c>
      <c r="H30" s="8">
        <v>2.6</v>
      </c>
      <c r="I30" s="12">
        <v>0</v>
      </c>
    </row>
    <row r="31" spans="2:9" ht="15" customHeight="1" x14ac:dyDescent="0.2">
      <c r="B31" t="s">
        <v>85</v>
      </c>
      <c r="C31" s="12">
        <v>5</v>
      </c>
      <c r="D31" s="8">
        <v>3.36</v>
      </c>
      <c r="E31" s="12">
        <v>3</v>
      </c>
      <c r="F31" s="8">
        <v>4.29</v>
      </c>
      <c r="G31" s="12">
        <v>2</v>
      </c>
      <c r="H31" s="8">
        <v>2.6</v>
      </c>
      <c r="I31" s="12">
        <v>0</v>
      </c>
    </row>
    <row r="32" spans="2:9" ht="15" customHeight="1" x14ac:dyDescent="0.2">
      <c r="B32" t="s">
        <v>106</v>
      </c>
      <c r="C32" s="12">
        <v>5</v>
      </c>
      <c r="D32" s="8">
        <v>3.36</v>
      </c>
      <c r="E32" s="12">
        <v>0</v>
      </c>
      <c r="F32" s="8">
        <v>0</v>
      </c>
      <c r="G32" s="12">
        <v>5</v>
      </c>
      <c r="H32" s="8">
        <v>6.49</v>
      </c>
      <c r="I32" s="12">
        <v>0</v>
      </c>
    </row>
    <row r="33" spans="2:9" ht="15" customHeight="1" x14ac:dyDescent="0.2">
      <c r="B33" t="s">
        <v>128</v>
      </c>
      <c r="C33" s="12">
        <v>5</v>
      </c>
      <c r="D33" s="8">
        <v>3.36</v>
      </c>
      <c r="E33" s="12">
        <v>2</v>
      </c>
      <c r="F33" s="8">
        <v>2.86</v>
      </c>
      <c r="G33" s="12">
        <v>3</v>
      </c>
      <c r="H33" s="8">
        <v>3.9</v>
      </c>
      <c r="I33" s="12">
        <v>0</v>
      </c>
    </row>
    <row r="34" spans="2:9" ht="15" customHeight="1" x14ac:dyDescent="0.2">
      <c r="B34" t="s">
        <v>94</v>
      </c>
      <c r="C34" s="12">
        <v>5</v>
      </c>
      <c r="D34" s="8">
        <v>3.36</v>
      </c>
      <c r="E34" s="12">
        <v>1</v>
      </c>
      <c r="F34" s="8">
        <v>1.43</v>
      </c>
      <c r="G34" s="12">
        <v>4</v>
      </c>
      <c r="H34" s="8">
        <v>5.19</v>
      </c>
      <c r="I34" s="12">
        <v>0</v>
      </c>
    </row>
    <row r="35" spans="2:9" ht="15" customHeight="1" x14ac:dyDescent="0.2">
      <c r="B35" t="s">
        <v>91</v>
      </c>
      <c r="C35" s="12">
        <v>4</v>
      </c>
      <c r="D35" s="8">
        <v>2.68</v>
      </c>
      <c r="E35" s="12">
        <v>2</v>
      </c>
      <c r="F35" s="8">
        <v>2.86</v>
      </c>
      <c r="G35" s="12">
        <v>2</v>
      </c>
      <c r="H35" s="8">
        <v>2.6</v>
      </c>
      <c r="I35" s="12">
        <v>0</v>
      </c>
    </row>
    <row r="36" spans="2:9" ht="15" customHeight="1" x14ac:dyDescent="0.2">
      <c r="B36" t="s">
        <v>130</v>
      </c>
      <c r="C36" s="12">
        <v>4</v>
      </c>
      <c r="D36" s="8">
        <v>2.68</v>
      </c>
      <c r="E36" s="12">
        <v>0</v>
      </c>
      <c r="F36" s="8">
        <v>0</v>
      </c>
      <c r="G36" s="12">
        <v>4</v>
      </c>
      <c r="H36" s="8">
        <v>5.19</v>
      </c>
      <c r="I36" s="12">
        <v>0</v>
      </c>
    </row>
    <row r="37" spans="2:9" ht="15" customHeight="1" x14ac:dyDescent="0.2">
      <c r="B37" t="s">
        <v>122</v>
      </c>
      <c r="C37" s="12">
        <v>3</v>
      </c>
      <c r="D37" s="8">
        <v>2.0099999999999998</v>
      </c>
      <c r="E37" s="12">
        <v>0</v>
      </c>
      <c r="F37" s="8">
        <v>0</v>
      </c>
      <c r="G37" s="12">
        <v>3</v>
      </c>
      <c r="H37" s="8">
        <v>3.9</v>
      </c>
      <c r="I37" s="12">
        <v>0</v>
      </c>
    </row>
    <row r="38" spans="2:9" ht="15" customHeight="1" x14ac:dyDescent="0.2">
      <c r="B38" t="s">
        <v>136</v>
      </c>
      <c r="C38" s="12">
        <v>3</v>
      </c>
      <c r="D38" s="8">
        <v>2.0099999999999998</v>
      </c>
      <c r="E38" s="12">
        <v>1</v>
      </c>
      <c r="F38" s="8">
        <v>1.43</v>
      </c>
      <c r="G38" s="12">
        <v>2</v>
      </c>
      <c r="H38" s="8">
        <v>2.6</v>
      </c>
      <c r="I38" s="12">
        <v>0</v>
      </c>
    </row>
    <row r="39" spans="2:9" ht="15" customHeight="1" x14ac:dyDescent="0.2">
      <c r="B39" t="s">
        <v>100</v>
      </c>
      <c r="C39" s="12">
        <v>3</v>
      </c>
      <c r="D39" s="8">
        <v>2.0099999999999998</v>
      </c>
      <c r="E39" s="12">
        <v>2</v>
      </c>
      <c r="F39" s="8">
        <v>2.86</v>
      </c>
      <c r="G39" s="12">
        <v>1</v>
      </c>
      <c r="H39" s="8">
        <v>1.3</v>
      </c>
      <c r="I39" s="12">
        <v>0</v>
      </c>
    </row>
    <row r="40" spans="2:9" ht="15" customHeight="1" x14ac:dyDescent="0.2">
      <c r="B40" t="s">
        <v>105</v>
      </c>
      <c r="C40" s="12">
        <v>3</v>
      </c>
      <c r="D40" s="8">
        <v>2.0099999999999998</v>
      </c>
      <c r="E40" s="12">
        <v>0</v>
      </c>
      <c r="F40" s="8">
        <v>0</v>
      </c>
      <c r="G40" s="12">
        <v>3</v>
      </c>
      <c r="H40" s="8">
        <v>3.9</v>
      </c>
      <c r="I40" s="12">
        <v>0</v>
      </c>
    </row>
    <row r="41" spans="2:9" ht="15" customHeight="1" x14ac:dyDescent="0.2">
      <c r="B41" t="s">
        <v>141</v>
      </c>
      <c r="C41" s="12">
        <v>2</v>
      </c>
      <c r="D41" s="8">
        <v>1.34</v>
      </c>
      <c r="E41" s="12">
        <v>0</v>
      </c>
      <c r="F41" s="8">
        <v>0</v>
      </c>
      <c r="G41" s="12">
        <v>2</v>
      </c>
      <c r="H41" s="8">
        <v>2.6</v>
      </c>
      <c r="I41" s="12">
        <v>0</v>
      </c>
    </row>
    <row r="42" spans="2:9" ht="15" customHeight="1" x14ac:dyDescent="0.2">
      <c r="B42" t="s">
        <v>126</v>
      </c>
      <c r="C42" s="12">
        <v>2</v>
      </c>
      <c r="D42" s="8">
        <v>1.34</v>
      </c>
      <c r="E42" s="12">
        <v>1</v>
      </c>
      <c r="F42" s="8">
        <v>1.43</v>
      </c>
      <c r="G42" s="12">
        <v>1</v>
      </c>
      <c r="H42" s="8">
        <v>1.3</v>
      </c>
      <c r="I42" s="12">
        <v>0</v>
      </c>
    </row>
    <row r="43" spans="2:9" ht="15" customHeight="1" x14ac:dyDescent="0.2">
      <c r="B43" t="s">
        <v>117</v>
      </c>
      <c r="C43" s="12">
        <v>2</v>
      </c>
      <c r="D43" s="8">
        <v>1.34</v>
      </c>
      <c r="E43" s="12">
        <v>0</v>
      </c>
      <c r="F43" s="8">
        <v>0</v>
      </c>
      <c r="G43" s="12">
        <v>2</v>
      </c>
      <c r="H43" s="8">
        <v>2.6</v>
      </c>
      <c r="I43" s="12">
        <v>0</v>
      </c>
    </row>
    <row r="44" spans="2:9" ht="15" customHeight="1" x14ac:dyDescent="0.2">
      <c r="B44" t="s">
        <v>142</v>
      </c>
      <c r="C44" s="12">
        <v>2</v>
      </c>
      <c r="D44" s="8">
        <v>1.34</v>
      </c>
      <c r="E44" s="12">
        <v>1</v>
      </c>
      <c r="F44" s="8">
        <v>1.43</v>
      </c>
      <c r="G44" s="12">
        <v>1</v>
      </c>
      <c r="H44" s="8">
        <v>1.3</v>
      </c>
      <c r="I44" s="12">
        <v>0</v>
      </c>
    </row>
    <row r="45" spans="2:9" ht="15" customHeight="1" x14ac:dyDescent="0.2">
      <c r="B45" t="s">
        <v>119</v>
      </c>
      <c r="C45" s="12">
        <v>2</v>
      </c>
      <c r="D45" s="8">
        <v>1.34</v>
      </c>
      <c r="E45" s="12">
        <v>2</v>
      </c>
      <c r="F45" s="8">
        <v>2.86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89</v>
      </c>
      <c r="C46" s="12">
        <v>2</v>
      </c>
      <c r="D46" s="8">
        <v>1.34</v>
      </c>
      <c r="E46" s="12">
        <v>1</v>
      </c>
      <c r="F46" s="8">
        <v>1.43</v>
      </c>
      <c r="G46" s="12">
        <v>1</v>
      </c>
      <c r="H46" s="8">
        <v>1.3</v>
      </c>
      <c r="I46" s="12">
        <v>0</v>
      </c>
    </row>
    <row r="47" spans="2:9" ht="15" customHeight="1" x14ac:dyDescent="0.2">
      <c r="B47" t="s">
        <v>93</v>
      </c>
      <c r="C47" s="12">
        <v>2</v>
      </c>
      <c r="D47" s="8">
        <v>1.34</v>
      </c>
      <c r="E47" s="12">
        <v>0</v>
      </c>
      <c r="F47" s="8">
        <v>0</v>
      </c>
      <c r="G47" s="12">
        <v>2</v>
      </c>
      <c r="H47" s="8">
        <v>2.6</v>
      </c>
      <c r="I47" s="12">
        <v>0</v>
      </c>
    </row>
    <row r="48" spans="2:9" ht="15" customHeight="1" x14ac:dyDescent="0.2">
      <c r="B48" t="s">
        <v>95</v>
      </c>
      <c r="C48" s="12">
        <v>2</v>
      </c>
      <c r="D48" s="8">
        <v>1.34</v>
      </c>
      <c r="E48" s="12">
        <v>1</v>
      </c>
      <c r="F48" s="8">
        <v>1.43</v>
      </c>
      <c r="G48" s="12">
        <v>1</v>
      </c>
      <c r="H48" s="8">
        <v>1.3</v>
      </c>
      <c r="I48" s="12">
        <v>0</v>
      </c>
    </row>
    <row r="49" spans="2:9" ht="15" customHeight="1" x14ac:dyDescent="0.2">
      <c r="B49" t="s">
        <v>96</v>
      </c>
      <c r="C49" s="12">
        <v>2</v>
      </c>
      <c r="D49" s="8">
        <v>1.34</v>
      </c>
      <c r="E49" s="12">
        <v>1</v>
      </c>
      <c r="F49" s="8">
        <v>1.43</v>
      </c>
      <c r="G49" s="12">
        <v>1</v>
      </c>
      <c r="H49" s="8">
        <v>1.3</v>
      </c>
      <c r="I49" s="12">
        <v>0</v>
      </c>
    </row>
    <row r="50" spans="2:9" ht="15" customHeight="1" x14ac:dyDescent="0.2">
      <c r="B50" t="s">
        <v>111</v>
      </c>
      <c r="C50" s="12">
        <v>2</v>
      </c>
      <c r="D50" s="8">
        <v>1.34</v>
      </c>
      <c r="E50" s="12">
        <v>1</v>
      </c>
      <c r="F50" s="8">
        <v>1.43</v>
      </c>
      <c r="G50" s="12">
        <v>1</v>
      </c>
      <c r="H50" s="8">
        <v>1.3</v>
      </c>
      <c r="I50" s="12">
        <v>0</v>
      </c>
    </row>
    <row r="53" spans="2:9" ht="33" customHeight="1" x14ac:dyDescent="0.2">
      <c r="B53" t="s">
        <v>250</v>
      </c>
      <c r="C53" s="10" t="s">
        <v>77</v>
      </c>
      <c r="D53" s="10" t="s">
        <v>78</v>
      </c>
      <c r="E53" s="10" t="s">
        <v>79</v>
      </c>
      <c r="F53" s="10" t="s">
        <v>80</v>
      </c>
      <c r="G53" s="10" t="s">
        <v>81</v>
      </c>
      <c r="H53" s="10" t="s">
        <v>82</v>
      </c>
      <c r="I53" s="10" t="s">
        <v>83</v>
      </c>
    </row>
    <row r="54" spans="2:9" ht="15" customHeight="1" x14ac:dyDescent="0.2">
      <c r="B54" t="s">
        <v>192</v>
      </c>
      <c r="C54" s="12">
        <v>9</v>
      </c>
      <c r="D54" s="8">
        <v>6.04</v>
      </c>
      <c r="E54" s="12">
        <v>7</v>
      </c>
      <c r="F54" s="8">
        <v>10</v>
      </c>
      <c r="G54" s="12">
        <v>2</v>
      </c>
      <c r="H54" s="8">
        <v>2.6</v>
      </c>
      <c r="I54" s="12">
        <v>0</v>
      </c>
    </row>
    <row r="55" spans="2:9" ht="15" customHeight="1" x14ac:dyDescent="0.2">
      <c r="B55" t="s">
        <v>148</v>
      </c>
      <c r="C55" s="12">
        <v>7</v>
      </c>
      <c r="D55" s="8">
        <v>4.7</v>
      </c>
      <c r="E55" s="12">
        <v>2</v>
      </c>
      <c r="F55" s="8">
        <v>2.86</v>
      </c>
      <c r="G55" s="12">
        <v>5</v>
      </c>
      <c r="H55" s="8">
        <v>6.49</v>
      </c>
      <c r="I55" s="12">
        <v>0</v>
      </c>
    </row>
    <row r="56" spans="2:9" ht="15" customHeight="1" x14ac:dyDescent="0.2">
      <c r="B56" t="s">
        <v>153</v>
      </c>
      <c r="C56" s="12">
        <v>6</v>
      </c>
      <c r="D56" s="8">
        <v>4.03</v>
      </c>
      <c r="E56" s="12">
        <v>0</v>
      </c>
      <c r="F56" s="8">
        <v>0</v>
      </c>
      <c r="G56" s="12">
        <v>6</v>
      </c>
      <c r="H56" s="8">
        <v>7.79</v>
      </c>
      <c r="I56" s="12">
        <v>0</v>
      </c>
    </row>
    <row r="57" spans="2:9" ht="15" customHeight="1" x14ac:dyDescent="0.2">
      <c r="B57" t="s">
        <v>163</v>
      </c>
      <c r="C57" s="12">
        <v>6</v>
      </c>
      <c r="D57" s="8">
        <v>4.03</v>
      </c>
      <c r="E57" s="12">
        <v>6</v>
      </c>
      <c r="F57" s="8">
        <v>8.57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164</v>
      </c>
      <c r="C58" s="12">
        <v>6</v>
      </c>
      <c r="D58" s="8">
        <v>4.03</v>
      </c>
      <c r="E58" s="12">
        <v>6</v>
      </c>
      <c r="F58" s="8">
        <v>8.57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167</v>
      </c>
      <c r="C59" s="12">
        <v>6</v>
      </c>
      <c r="D59" s="8">
        <v>4.03</v>
      </c>
      <c r="E59" s="12">
        <v>4</v>
      </c>
      <c r="F59" s="8">
        <v>5.71</v>
      </c>
      <c r="G59" s="12">
        <v>2</v>
      </c>
      <c r="H59" s="8">
        <v>2.6</v>
      </c>
      <c r="I59" s="12">
        <v>0</v>
      </c>
    </row>
    <row r="60" spans="2:9" ht="15" customHeight="1" x14ac:dyDescent="0.2">
      <c r="B60" t="s">
        <v>150</v>
      </c>
      <c r="C60" s="12">
        <v>4</v>
      </c>
      <c r="D60" s="8">
        <v>2.68</v>
      </c>
      <c r="E60" s="12">
        <v>2</v>
      </c>
      <c r="F60" s="8">
        <v>2.86</v>
      </c>
      <c r="G60" s="12">
        <v>2</v>
      </c>
      <c r="H60" s="8">
        <v>2.6</v>
      </c>
      <c r="I60" s="12">
        <v>0</v>
      </c>
    </row>
    <row r="61" spans="2:9" ht="15" customHeight="1" x14ac:dyDescent="0.2">
      <c r="B61" t="s">
        <v>149</v>
      </c>
      <c r="C61" s="12">
        <v>3</v>
      </c>
      <c r="D61" s="8">
        <v>2.0099999999999998</v>
      </c>
      <c r="E61" s="12">
        <v>1</v>
      </c>
      <c r="F61" s="8">
        <v>1.43</v>
      </c>
      <c r="G61" s="12">
        <v>2</v>
      </c>
      <c r="H61" s="8">
        <v>2.6</v>
      </c>
      <c r="I61" s="12">
        <v>0</v>
      </c>
    </row>
    <row r="62" spans="2:9" ht="15" customHeight="1" x14ac:dyDescent="0.2">
      <c r="B62" t="s">
        <v>152</v>
      </c>
      <c r="C62" s="12">
        <v>3</v>
      </c>
      <c r="D62" s="8">
        <v>2.0099999999999998</v>
      </c>
      <c r="E62" s="12">
        <v>1</v>
      </c>
      <c r="F62" s="8">
        <v>1.43</v>
      </c>
      <c r="G62" s="12">
        <v>2</v>
      </c>
      <c r="H62" s="8">
        <v>2.6</v>
      </c>
      <c r="I62" s="12">
        <v>0</v>
      </c>
    </row>
    <row r="63" spans="2:9" ht="15" customHeight="1" x14ac:dyDescent="0.2">
      <c r="B63" t="s">
        <v>203</v>
      </c>
      <c r="C63" s="12">
        <v>3</v>
      </c>
      <c r="D63" s="8">
        <v>2.0099999999999998</v>
      </c>
      <c r="E63" s="12">
        <v>0</v>
      </c>
      <c r="F63" s="8">
        <v>0</v>
      </c>
      <c r="G63" s="12">
        <v>3</v>
      </c>
      <c r="H63" s="8">
        <v>3.9</v>
      </c>
      <c r="I63" s="12">
        <v>0</v>
      </c>
    </row>
    <row r="64" spans="2:9" ht="15" customHeight="1" x14ac:dyDescent="0.2">
      <c r="B64" t="s">
        <v>238</v>
      </c>
      <c r="C64" s="12">
        <v>3</v>
      </c>
      <c r="D64" s="8">
        <v>2.0099999999999998</v>
      </c>
      <c r="E64" s="12">
        <v>1</v>
      </c>
      <c r="F64" s="8">
        <v>1.43</v>
      </c>
      <c r="G64" s="12">
        <v>2</v>
      </c>
      <c r="H64" s="8">
        <v>2.6</v>
      </c>
      <c r="I64" s="12">
        <v>0</v>
      </c>
    </row>
    <row r="65" spans="2:9" ht="15" customHeight="1" x14ac:dyDescent="0.2">
      <c r="B65" t="s">
        <v>155</v>
      </c>
      <c r="C65" s="12">
        <v>3</v>
      </c>
      <c r="D65" s="8">
        <v>2.0099999999999998</v>
      </c>
      <c r="E65" s="12">
        <v>1</v>
      </c>
      <c r="F65" s="8">
        <v>1.43</v>
      </c>
      <c r="G65" s="12">
        <v>2</v>
      </c>
      <c r="H65" s="8">
        <v>2.6</v>
      </c>
      <c r="I65" s="12">
        <v>0</v>
      </c>
    </row>
    <row r="66" spans="2:9" ht="15" customHeight="1" x14ac:dyDescent="0.2">
      <c r="B66" t="s">
        <v>156</v>
      </c>
      <c r="C66" s="12">
        <v>3</v>
      </c>
      <c r="D66" s="8">
        <v>2.0099999999999998</v>
      </c>
      <c r="E66" s="12">
        <v>3</v>
      </c>
      <c r="F66" s="8">
        <v>4.29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158</v>
      </c>
      <c r="C67" s="12">
        <v>3</v>
      </c>
      <c r="D67" s="8">
        <v>2.0099999999999998</v>
      </c>
      <c r="E67" s="12">
        <v>1</v>
      </c>
      <c r="F67" s="8">
        <v>1.43</v>
      </c>
      <c r="G67" s="12">
        <v>2</v>
      </c>
      <c r="H67" s="8">
        <v>2.6</v>
      </c>
      <c r="I67" s="12">
        <v>0</v>
      </c>
    </row>
    <row r="68" spans="2:9" ht="15" customHeight="1" x14ac:dyDescent="0.2">
      <c r="B68" t="s">
        <v>162</v>
      </c>
      <c r="C68" s="12">
        <v>3</v>
      </c>
      <c r="D68" s="8">
        <v>2.0099999999999998</v>
      </c>
      <c r="E68" s="12">
        <v>3</v>
      </c>
      <c r="F68" s="8">
        <v>4.29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186</v>
      </c>
      <c r="C69" s="12">
        <v>3</v>
      </c>
      <c r="D69" s="8">
        <v>2.0099999999999998</v>
      </c>
      <c r="E69" s="12">
        <v>0</v>
      </c>
      <c r="F69" s="8">
        <v>0</v>
      </c>
      <c r="G69" s="12">
        <v>3</v>
      </c>
      <c r="H69" s="8">
        <v>3.9</v>
      </c>
      <c r="I69" s="12">
        <v>0</v>
      </c>
    </row>
    <row r="70" spans="2:9" ht="15" customHeight="1" x14ac:dyDescent="0.2">
      <c r="B70" t="s">
        <v>151</v>
      </c>
      <c r="C70" s="12">
        <v>2</v>
      </c>
      <c r="D70" s="8">
        <v>1.34</v>
      </c>
      <c r="E70" s="12">
        <v>2</v>
      </c>
      <c r="F70" s="8">
        <v>2.86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197</v>
      </c>
      <c r="C71" s="12">
        <v>2</v>
      </c>
      <c r="D71" s="8">
        <v>1.34</v>
      </c>
      <c r="E71" s="12">
        <v>1</v>
      </c>
      <c r="F71" s="8">
        <v>1.43</v>
      </c>
      <c r="G71" s="12">
        <v>1</v>
      </c>
      <c r="H71" s="8">
        <v>1.3</v>
      </c>
      <c r="I71" s="12">
        <v>0</v>
      </c>
    </row>
    <row r="72" spans="2:9" ht="15" customHeight="1" x14ac:dyDescent="0.2">
      <c r="B72" t="s">
        <v>234</v>
      </c>
      <c r="C72" s="12">
        <v>2</v>
      </c>
      <c r="D72" s="8">
        <v>1.34</v>
      </c>
      <c r="E72" s="12">
        <v>0</v>
      </c>
      <c r="F72" s="8">
        <v>0</v>
      </c>
      <c r="G72" s="12">
        <v>2</v>
      </c>
      <c r="H72" s="8">
        <v>2.6</v>
      </c>
      <c r="I72" s="12">
        <v>0</v>
      </c>
    </row>
    <row r="73" spans="2:9" ht="15" customHeight="1" x14ac:dyDescent="0.2">
      <c r="B73" t="s">
        <v>235</v>
      </c>
      <c r="C73" s="12">
        <v>2</v>
      </c>
      <c r="D73" s="8">
        <v>1.34</v>
      </c>
      <c r="E73" s="12">
        <v>0</v>
      </c>
      <c r="F73" s="8">
        <v>0</v>
      </c>
      <c r="G73" s="12">
        <v>2</v>
      </c>
      <c r="H73" s="8">
        <v>2.6</v>
      </c>
      <c r="I73" s="12">
        <v>0</v>
      </c>
    </row>
    <row r="74" spans="2:9" ht="15" customHeight="1" x14ac:dyDescent="0.2">
      <c r="B74" t="s">
        <v>236</v>
      </c>
      <c r="C74" s="12">
        <v>2</v>
      </c>
      <c r="D74" s="8">
        <v>1.34</v>
      </c>
      <c r="E74" s="12">
        <v>0</v>
      </c>
      <c r="F74" s="8">
        <v>0</v>
      </c>
      <c r="G74" s="12">
        <v>2</v>
      </c>
      <c r="H74" s="8">
        <v>2.6</v>
      </c>
      <c r="I74" s="12">
        <v>0</v>
      </c>
    </row>
    <row r="75" spans="2:9" ht="15" customHeight="1" x14ac:dyDescent="0.2">
      <c r="B75" t="s">
        <v>237</v>
      </c>
      <c r="C75" s="12">
        <v>2</v>
      </c>
      <c r="D75" s="8">
        <v>1.34</v>
      </c>
      <c r="E75" s="12">
        <v>1</v>
      </c>
      <c r="F75" s="8">
        <v>1.43</v>
      </c>
      <c r="G75" s="12">
        <v>1</v>
      </c>
      <c r="H75" s="8">
        <v>1.3</v>
      </c>
      <c r="I75" s="12">
        <v>0</v>
      </c>
    </row>
    <row r="76" spans="2:9" ht="15" customHeight="1" x14ac:dyDescent="0.2">
      <c r="B76" t="s">
        <v>239</v>
      </c>
      <c r="C76" s="12">
        <v>2</v>
      </c>
      <c r="D76" s="8">
        <v>1.34</v>
      </c>
      <c r="E76" s="12">
        <v>1</v>
      </c>
      <c r="F76" s="8">
        <v>1.43</v>
      </c>
      <c r="G76" s="12">
        <v>1</v>
      </c>
      <c r="H76" s="8">
        <v>1.3</v>
      </c>
      <c r="I76" s="12">
        <v>0</v>
      </c>
    </row>
    <row r="77" spans="2:9" ht="15" customHeight="1" x14ac:dyDescent="0.2">
      <c r="B77" t="s">
        <v>229</v>
      </c>
      <c r="C77" s="12">
        <v>2</v>
      </c>
      <c r="D77" s="8">
        <v>1.34</v>
      </c>
      <c r="E77" s="12">
        <v>0</v>
      </c>
      <c r="F77" s="8">
        <v>0</v>
      </c>
      <c r="G77" s="12">
        <v>2</v>
      </c>
      <c r="H77" s="8">
        <v>2.6</v>
      </c>
      <c r="I77" s="12">
        <v>0</v>
      </c>
    </row>
    <row r="78" spans="2:9" ht="15" customHeight="1" x14ac:dyDescent="0.2">
      <c r="B78" t="s">
        <v>230</v>
      </c>
      <c r="C78" s="12">
        <v>2</v>
      </c>
      <c r="D78" s="8">
        <v>1.34</v>
      </c>
      <c r="E78" s="12">
        <v>2</v>
      </c>
      <c r="F78" s="8">
        <v>2.86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190</v>
      </c>
      <c r="C79" s="12">
        <v>2</v>
      </c>
      <c r="D79" s="8">
        <v>1.34</v>
      </c>
      <c r="E79" s="12">
        <v>1</v>
      </c>
      <c r="F79" s="8">
        <v>1.43</v>
      </c>
      <c r="G79" s="12">
        <v>1</v>
      </c>
      <c r="H79" s="8">
        <v>1.3</v>
      </c>
      <c r="I79" s="12">
        <v>0</v>
      </c>
    </row>
    <row r="80" spans="2:9" ht="15" customHeight="1" x14ac:dyDescent="0.2">
      <c r="B80" t="s">
        <v>154</v>
      </c>
      <c r="C80" s="12">
        <v>2</v>
      </c>
      <c r="D80" s="8">
        <v>1.34</v>
      </c>
      <c r="E80" s="12">
        <v>2</v>
      </c>
      <c r="F80" s="8">
        <v>2.86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168</v>
      </c>
      <c r="C81" s="12">
        <v>2</v>
      </c>
      <c r="D81" s="8">
        <v>1.34</v>
      </c>
      <c r="E81" s="12">
        <v>1</v>
      </c>
      <c r="F81" s="8">
        <v>1.43</v>
      </c>
      <c r="G81" s="12">
        <v>1</v>
      </c>
      <c r="H81" s="8">
        <v>1.3</v>
      </c>
      <c r="I81" s="12">
        <v>0</v>
      </c>
    </row>
    <row r="82" spans="2:9" ht="15" customHeight="1" x14ac:dyDescent="0.2">
      <c r="B82" t="s">
        <v>191</v>
      </c>
      <c r="C82" s="12">
        <v>2</v>
      </c>
      <c r="D82" s="8">
        <v>1.34</v>
      </c>
      <c r="E82" s="12">
        <v>1</v>
      </c>
      <c r="F82" s="8">
        <v>1.43</v>
      </c>
      <c r="G82" s="12">
        <v>1</v>
      </c>
      <c r="H82" s="8">
        <v>1.3</v>
      </c>
      <c r="I82" s="12">
        <v>0</v>
      </c>
    </row>
    <row r="83" spans="2:9" ht="15" customHeight="1" x14ac:dyDescent="0.2">
      <c r="B83" t="s">
        <v>210</v>
      </c>
      <c r="C83" s="12">
        <v>2</v>
      </c>
      <c r="D83" s="8">
        <v>1.34</v>
      </c>
      <c r="E83" s="12">
        <v>0</v>
      </c>
      <c r="F83" s="8">
        <v>0</v>
      </c>
      <c r="G83" s="12">
        <v>2</v>
      </c>
      <c r="H83" s="8">
        <v>2.6</v>
      </c>
      <c r="I83" s="12">
        <v>0</v>
      </c>
    </row>
    <row r="84" spans="2:9" ht="15" customHeight="1" x14ac:dyDescent="0.2">
      <c r="B84" t="s">
        <v>157</v>
      </c>
      <c r="C84" s="12">
        <v>2</v>
      </c>
      <c r="D84" s="8">
        <v>1.34</v>
      </c>
      <c r="E84" s="12">
        <v>0</v>
      </c>
      <c r="F84" s="8">
        <v>0</v>
      </c>
      <c r="G84" s="12">
        <v>2</v>
      </c>
      <c r="H84" s="8">
        <v>2.6</v>
      </c>
      <c r="I84" s="12">
        <v>0</v>
      </c>
    </row>
    <row r="85" spans="2:9" ht="15" customHeight="1" x14ac:dyDescent="0.2">
      <c r="B85" t="s">
        <v>195</v>
      </c>
      <c r="C85" s="12">
        <v>2</v>
      </c>
      <c r="D85" s="8">
        <v>1.34</v>
      </c>
      <c r="E85" s="12">
        <v>2</v>
      </c>
      <c r="F85" s="8">
        <v>2.86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165</v>
      </c>
      <c r="C86" s="12">
        <v>2</v>
      </c>
      <c r="D86" s="8">
        <v>1.34</v>
      </c>
      <c r="E86" s="12">
        <v>1</v>
      </c>
      <c r="F86" s="8">
        <v>1.43</v>
      </c>
      <c r="G86" s="12">
        <v>1</v>
      </c>
      <c r="H86" s="8">
        <v>1.3</v>
      </c>
      <c r="I86" s="12">
        <v>0</v>
      </c>
    </row>
    <row r="87" spans="2:9" ht="15" customHeight="1" x14ac:dyDescent="0.2">
      <c r="B87" t="s">
        <v>240</v>
      </c>
      <c r="C87" s="12">
        <v>2</v>
      </c>
      <c r="D87" s="8">
        <v>1.34</v>
      </c>
      <c r="E87" s="12">
        <v>0</v>
      </c>
      <c r="F87" s="8">
        <v>0</v>
      </c>
      <c r="G87" s="12">
        <v>2</v>
      </c>
      <c r="H87" s="8">
        <v>2.6</v>
      </c>
      <c r="I87" s="12">
        <v>0</v>
      </c>
    </row>
    <row r="88" spans="2:9" ht="15" customHeight="1" x14ac:dyDescent="0.2">
      <c r="B88" t="s">
        <v>241</v>
      </c>
      <c r="C88" s="12">
        <v>2</v>
      </c>
      <c r="D88" s="8">
        <v>1.34</v>
      </c>
      <c r="E88" s="12">
        <v>0</v>
      </c>
      <c r="F88" s="8">
        <v>0</v>
      </c>
      <c r="G88" s="12">
        <v>2</v>
      </c>
      <c r="H88" s="8">
        <v>2.6</v>
      </c>
      <c r="I88" s="12">
        <v>0</v>
      </c>
    </row>
    <row r="90" spans="2:9" ht="15" customHeight="1" x14ac:dyDescent="0.2">
      <c r="B90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C9945-EC27-4834-8715-8E17B6E813EE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308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44</v>
      </c>
      <c r="D6" s="8">
        <v>23.4</v>
      </c>
      <c r="E6" s="12">
        <v>17</v>
      </c>
      <c r="F6" s="8">
        <v>15.74</v>
      </c>
      <c r="G6" s="12">
        <v>27</v>
      </c>
      <c r="H6" s="8">
        <v>34.18</v>
      </c>
      <c r="I6" s="12">
        <v>0</v>
      </c>
    </row>
    <row r="7" spans="2:9" ht="15" customHeight="1" x14ac:dyDescent="0.2">
      <c r="B7" t="s">
        <v>63</v>
      </c>
      <c r="C7" s="12">
        <v>22</v>
      </c>
      <c r="D7" s="8">
        <v>11.7</v>
      </c>
      <c r="E7" s="12">
        <v>4</v>
      </c>
      <c r="F7" s="8">
        <v>3.7</v>
      </c>
      <c r="G7" s="12">
        <v>18</v>
      </c>
      <c r="H7" s="8">
        <v>22.78</v>
      </c>
      <c r="I7" s="12">
        <v>0</v>
      </c>
    </row>
    <row r="8" spans="2:9" ht="15" customHeight="1" x14ac:dyDescent="0.2">
      <c r="B8" t="s">
        <v>64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66</v>
      </c>
      <c r="C10" s="12">
        <v>5</v>
      </c>
      <c r="D10" s="8">
        <v>2.66</v>
      </c>
      <c r="E10" s="12">
        <v>1</v>
      </c>
      <c r="F10" s="8">
        <v>0.93</v>
      </c>
      <c r="G10" s="12">
        <v>4</v>
      </c>
      <c r="H10" s="8">
        <v>5.0599999999999996</v>
      </c>
      <c r="I10" s="12">
        <v>0</v>
      </c>
    </row>
    <row r="11" spans="2:9" ht="15" customHeight="1" x14ac:dyDescent="0.2">
      <c r="B11" t="s">
        <v>67</v>
      </c>
      <c r="C11" s="12">
        <v>41</v>
      </c>
      <c r="D11" s="8">
        <v>21.81</v>
      </c>
      <c r="E11" s="12">
        <v>28</v>
      </c>
      <c r="F11" s="8">
        <v>25.93</v>
      </c>
      <c r="G11" s="12">
        <v>13</v>
      </c>
      <c r="H11" s="8">
        <v>16.46</v>
      </c>
      <c r="I11" s="12">
        <v>0</v>
      </c>
    </row>
    <row r="12" spans="2:9" ht="15" customHeight="1" x14ac:dyDescent="0.2">
      <c r="B12" t="s">
        <v>68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69</v>
      </c>
      <c r="C13" s="12">
        <v>4</v>
      </c>
      <c r="D13" s="8">
        <v>2.13</v>
      </c>
      <c r="E13" s="12">
        <v>1</v>
      </c>
      <c r="F13" s="8">
        <v>0.93</v>
      </c>
      <c r="G13" s="12">
        <v>3</v>
      </c>
      <c r="H13" s="8">
        <v>3.8</v>
      </c>
      <c r="I13" s="12">
        <v>0</v>
      </c>
    </row>
    <row r="14" spans="2:9" ht="15" customHeight="1" x14ac:dyDescent="0.2">
      <c r="B14" t="s">
        <v>70</v>
      </c>
      <c r="C14" s="12">
        <v>2</v>
      </c>
      <c r="D14" s="8">
        <v>1.06</v>
      </c>
      <c r="E14" s="12">
        <v>0</v>
      </c>
      <c r="F14" s="8">
        <v>0</v>
      </c>
      <c r="G14" s="12">
        <v>2</v>
      </c>
      <c r="H14" s="8">
        <v>2.5299999999999998</v>
      </c>
      <c r="I14" s="12">
        <v>0</v>
      </c>
    </row>
    <row r="15" spans="2:9" ht="15" customHeight="1" x14ac:dyDescent="0.2">
      <c r="B15" t="s">
        <v>71</v>
      </c>
      <c r="C15" s="12">
        <v>27</v>
      </c>
      <c r="D15" s="8">
        <v>14.36</v>
      </c>
      <c r="E15" s="12">
        <v>21</v>
      </c>
      <c r="F15" s="8">
        <v>19.440000000000001</v>
      </c>
      <c r="G15" s="12">
        <v>6</v>
      </c>
      <c r="H15" s="8">
        <v>7.59</v>
      </c>
      <c r="I15" s="12">
        <v>0</v>
      </c>
    </row>
    <row r="16" spans="2:9" ht="15" customHeight="1" x14ac:dyDescent="0.2">
      <c r="B16" t="s">
        <v>72</v>
      </c>
      <c r="C16" s="12">
        <v>23</v>
      </c>
      <c r="D16" s="8">
        <v>12.23</v>
      </c>
      <c r="E16" s="12">
        <v>21</v>
      </c>
      <c r="F16" s="8">
        <v>19.440000000000001</v>
      </c>
      <c r="G16" s="12">
        <v>2</v>
      </c>
      <c r="H16" s="8">
        <v>2.5299999999999998</v>
      </c>
      <c r="I16" s="12">
        <v>0</v>
      </c>
    </row>
    <row r="17" spans="2:9" ht="15" customHeight="1" x14ac:dyDescent="0.2">
      <c r="B17" t="s">
        <v>73</v>
      </c>
      <c r="C17" s="12">
        <v>3</v>
      </c>
      <c r="D17" s="8">
        <v>1.6</v>
      </c>
      <c r="E17" s="12">
        <v>2</v>
      </c>
      <c r="F17" s="8">
        <v>1.85</v>
      </c>
      <c r="G17" s="12">
        <v>1</v>
      </c>
      <c r="H17" s="8">
        <v>1.27</v>
      </c>
      <c r="I17" s="12">
        <v>0</v>
      </c>
    </row>
    <row r="18" spans="2:9" ht="15" customHeight="1" x14ac:dyDescent="0.2">
      <c r="B18" t="s">
        <v>74</v>
      </c>
      <c r="C18" s="12">
        <v>7</v>
      </c>
      <c r="D18" s="8">
        <v>3.72</v>
      </c>
      <c r="E18" s="12">
        <v>5</v>
      </c>
      <c r="F18" s="8">
        <v>4.63</v>
      </c>
      <c r="G18" s="12">
        <v>2</v>
      </c>
      <c r="H18" s="8">
        <v>2.5299999999999998</v>
      </c>
      <c r="I18" s="12">
        <v>0</v>
      </c>
    </row>
    <row r="19" spans="2:9" ht="15" customHeight="1" x14ac:dyDescent="0.2">
      <c r="B19" t="s">
        <v>75</v>
      </c>
      <c r="C19" s="12">
        <v>10</v>
      </c>
      <c r="D19" s="8">
        <v>5.32</v>
      </c>
      <c r="E19" s="12">
        <v>8</v>
      </c>
      <c r="F19" s="8">
        <v>7.41</v>
      </c>
      <c r="G19" s="12">
        <v>1</v>
      </c>
      <c r="H19" s="8">
        <v>1.27</v>
      </c>
      <c r="I19" s="12">
        <v>1</v>
      </c>
    </row>
    <row r="20" spans="2:9" ht="15" customHeight="1" x14ac:dyDescent="0.2">
      <c r="B20" s="9" t="s">
        <v>248</v>
      </c>
      <c r="C20" s="12">
        <f>SUM(LTBL_12427[総数／事業所数])</f>
        <v>188</v>
      </c>
      <c r="E20" s="12">
        <f>SUBTOTAL(109,LTBL_12427[個人／事業所数])</f>
        <v>108</v>
      </c>
      <c r="G20" s="12">
        <f>SUBTOTAL(109,LTBL_12427[法人／事業所数])</f>
        <v>79</v>
      </c>
      <c r="I20" s="12">
        <f>SUBTOTAL(109,LTBL_12427[法人以外の団体／事業所数])</f>
        <v>1</v>
      </c>
    </row>
    <row r="21" spans="2:9" ht="15" customHeight="1" x14ac:dyDescent="0.2">
      <c r="E21" s="11">
        <f>LTBL_12427[[#Totals],[個人／事業所数]]/LTBL_12427[[#Totals],[総数／事業所数]]</f>
        <v>0.57446808510638303</v>
      </c>
      <c r="G21" s="11">
        <f>LTBL_12427[[#Totals],[法人／事業所数]]/LTBL_12427[[#Totals],[総数／事業所数]]</f>
        <v>0.42021276595744683</v>
      </c>
      <c r="I21" s="11">
        <f>LTBL_12427[[#Totals],[法人以外の団体／事業所数]]/LTBL_12427[[#Totals],[総数／事業所数]]</f>
        <v>5.3191489361702126E-3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97</v>
      </c>
      <c r="C24" s="12">
        <v>25</v>
      </c>
      <c r="D24" s="8">
        <v>13.3</v>
      </c>
      <c r="E24" s="12">
        <v>20</v>
      </c>
      <c r="F24" s="8">
        <v>18.52</v>
      </c>
      <c r="G24" s="12">
        <v>5</v>
      </c>
      <c r="H24" s="8">
        <v>6.33</v>
      </c>
      <c r="I24" s="12">
        <v>0</v>
      </c>
    </row>
    <row r="25" spans="2:9" ht="15" customHeight="1" x14ac:dyDescent="0.2">
      <c r="B25" t="s">
        <v>84</v>
      </c>
      <c r="C25" s="12">
        <v>21</v>
      </c>
      <c r="D25" s="8">
        <v>11.17</v>
      </c>
      <c r="E25" s="12">
        <v>6</v>
      </c>
      <c r="F25" s="8">
        <v>5.56</v>
      </c>
      <c r="G25" s="12">
        <v>15</v>
      </c>
      <c r="H25" s="8">
        <v>18.989999999999998</v>
      </c>
      <c r="I25" s="12">
        <v>0</v>
      </c>
    </row>
    <row r="26" spans="2:9" ht="15" customHeight="1" x14ac:dyDescent="0.2">
      <c r="B26" t="s">
        <v>98</v>
      </c>
      <c r="C26" s="12">
        <v>21</v>
      </c>
      <c r="D26" s="8">
        <v>11.17</v>
      </c>
      <c r="E26" s="12">
        <v>21</v>
      </c>
      <c r="F26" s="8">
        <v>19.440000000000001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85</v>
      </c>
      <c r="C27" s="12">
        <v>16</v>
      </c>
      <c r="D27" s="8">
        <v>8.51</v>
      </c>
      <c r="E27" s="12">
        <v>9</v>
      </c>
      <c r="F27" s="8">
        <v>8.33</v>
      </c>
      <c r="G27" s="12">
        <v>7</v>
      </c>
      <c r="H27" s="8">
        <v>8.86</v>
      </c>
      <c r="I27" s="12">
        <v>0</v>
      </c>
    </row>
    <row r="28" spans="2:9" ht="15" customHeight="1" x14ac:dyDescent="0.2">
      <c r="B28" t="s">
        <v>90</v>
      </c>
      <c r="C28" s="12">
        <v>16</v>
      </c>
      <c r="D28" s="8">
        <v>8.51</v>
      </c>
      <c r="E28" s="12">
        <v>16</v>
      </c>
      <c r="F28" s="8">
        <v>14.81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92</v>
      </c>
      <c r="C29" s="12">
        <v>9</v>
      </c>
      <c r="D29" s="8">
        <v>4.79</v>
      </c>
      <c r="E29" s="12">
        <v>4</v>
      </c>
      <c r="F29" s="8">
        <v>3.7</v>
      </c>
      <c r="G29" s="12">
        <v>5</v>
      </c>
      <c r="H29" s="8">
        <v>6.33</v>
      </c>
      <c r="I29" s="12">
        <v>0</v>
      </c>
    </row>
    <row r="30" spans="2:9" ht="15" customHeight="1" x14ac:dyDescent="0.2">
      <c r="B30" t="s">
        <v>103</v>
      </c>
      <c r="C30" s="12">
        <v>9</v>
      </c>
      <c r="D30" s="8">
        <v>4.79</v>
      </c>
      <c r="E30" s="12">
        <v>8</v>
      </c>
      <c r="F30" s="8">
        <v>7.41</v>
      </c>
      <c r="G30" s="12">
        <v>1</v>
      </c>
      <c r="H30" s="8">
        <v>1.27</v>
      </c>
      <c r="I30" s="12">
        <v>0</v>
      </c>
    </row>
    <row r="31" spans="2:9" ht="15" customHeight="1" x14ac:dyDescent="0.2">
      <c r="B31" t="s">
        <v>86</v>
      </c>
      <c r="C31" s="12">
        <v>7</v>
      </c>
      <c r="D31" s="8">
        <v>3.72</v>
      </c>
      <c r="E31" s="12">
        <v>2</v>
      </c>
      <c r="F31" s="8">
        <v>1.85</v>
      </c>
      <c r="G31" s="12">
        <v>5</v>
      </c>
      <c r="H31" s="8">
        <v>6.33</v>
      </c>
      <c r="I31" s="12">
        <v>0</v>
      </c>
    </row>
    <row r="32" spans="2:9" ht="15" customHeight="1" x14ac:dyDescent="0.2">
      <c r="B32" t="s">
        <v>101</v>
      </c>
      <c r="C32" s="12">
        <v>5</v>
      </c>
      <c r="D32" s="8">
        <v>2.66</v>
      </c>
      <c r="E32" s="12">
        <v>5</v>
      </c>
      <c r="F32" s="8">
        <v>4.63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91</v>
      </c>
      <c r="C33" s="12">
        <v>4</v>
      </c>
      <c r="D33" s="8">
        <v>2.13</v>
      </c>
      <c r="E33" s="12">
        <v>4</v>
      </c>
      <c r="F33" s="8">
        <v>3.7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106</v>
      </c>
      <c r="C34" s="12">
        <v>3</v>
      </c>
      <c r="D34" s="8">
        <v>1.6</v>
      </c>
      <c r="E34" s="12">
        <v>0</v>
      </c>
      <c r="F34" s="8">
        <v>0</v>
      </c>
      <c r="G34" s="12">
        <v>3</v>
      </c>
      <c r="H34" s="8">
        <v>3.8</v>
      </c>
      <c r="I34" s="12">
        <v>0</v>
      </c>
    </row>
    <row r="35" spans="2:9" ht="15" customHeight="1" x14ac:dyDescent="0.2">
      <c r="B35" t="s">
        <v>109</v>
      </c>
      <c r="C35" s="12">
        <v>3</v>
      </c>
      <c r="D35" s="8">
        <v>1.6</v>
      </c>
      <c r="E35" s="12">
        <v>0</v>
      </c>
      <c r="F35" s="8">
        <v>0</v>
      </c>
      <c r="G35" s="12">
        <v>3</v>
      </c>
      <c r="H35" s="8">
        <v>3.8</v>
      </c>
      <c r="I35" s="12">
        <v>0</v>
      </c>
    </row>
    <row r="36" spans="2:9" ht="15" customHeight="1" x14ac:dyDescent="0.2">
      <c r="B36" t="s">
        <v>88</v>
      </c>
      <c r="C36" s="12">
        <v>3</v>
      </c>
      <c r="D36" s="8">
        <v>1.6</v>
      </c>
      <c r="E36" s="12">
        <v>1</v>
      </c>
      <c r="F36" s="8">
        <v>0.93</v>
      </c>
      <c r="G36" s="12">
        <v>2</v>
      </c>
      <c r="H36" s="8">
        <v>2.5299999999999998</v>
      </c>
      <c r="I36" s="12">
        <v>0</v>
      </c>
    </row>
    <row r="37" spans="2:9" ht="15" customHeight="1" x14ac:dyDescent="0.2">
      <c r="B37" t="s">
        <v>100</v>
      </c>
      <c r="C37" s="12">
        <v>3</v>
      </c>
      <c r="D37" s="8">
        <v>1.6</v>
      </c>
      <c r="E37" s="12">
        <v>2</v>
      </c>
      <c r="F37" s="8">
        <v>1.85</v>
      </c>
      <c r="G37" s="12">
        <v>1</v>
      </c>
      <c r="H37" s="8">
        <v>1.27</v>
      </c>
      <c r="I37" s="12">
        <v>0</v>
      </c>
    </row>
    <row r="38" spans="2:9" ht="15" customHeight="1" x14ac:dyDescent="0.2">
      <c r="B38" t="s">
        <v>110</v>
      </c>
      <c r="C38" s="12">
        <v>2</v>
      </c>
      <c r="D38" s="8">
        <v>1.06</v>
      </c>
      <c r="E38" s="12">
        <v>0</v>
      </c>
      <c r="F38" s="8">
        <v>0</v>
      </c>
      <c r="G38" s="12">
        <v>2</v>
      </c>
      <c r="H38" s="8">
        <v>2.5299999999999998</v>
      </c>
      <c r="I38" s="12">
        <v>0</v>
      </c>
    </row>
    <row r="39" spans="2:9" ht="15" customHeight="1" x14ac:dyDescent="0.2">
      <c r="B39" t="s">
        <v>132</v>
      </c>
      <c r="C39" s="12">
        <v>2</v>
      </c>
      <c r="D39" s="8">
        <v>1.06</v>
      </c>
      <c r="E39" s="12">
        <v>1</v>
      </c>
      <c r="F39" s="8">
        <v>0.93</v>
      </c>
      <c r="G39" s="12">
        <v>1</v>
      </c>
      <c r="H39" s="8">
        <v>1.27</v>
      </c>
      <c r="I39" s="12">
        <v>0</v>
      </c>
    </row>
    <row r="40" spans="2:9" ht="15" customHeight="1" x14ac:dyDescent="0.2">
      <c r="B40" t="s">
        <v>141</v>
      </c>
      <c r="C40" s="12">
        <v>2</v>
      </c>
      <c r="D40" s="8">
        <v>1.06</v>
      </c>
      <c r="E40" s="12">
        <v>0</v>
      </c>
      <c r="F40" s="8">
        <v>0</v>
      </c>
      <c r="G40" s="12">
        <v>2</v>
      </c>
      <c r="H40" s="8">
        <v>2.5299999999999998</v>
      </c>
      <c r="I40" s="12">
        <v>0</v>
      </c>
    </row>
    <row r="41" spans="2:9" ht="15" customHeight="1" x14ac:dyDescent="0.2">
      <c r="B41" t="s">
        <v>116</v>
      </c>
      <c r="C41" s="12">
        <v>2</v>
      </c>
      <c r="D41" s="8">
        <v>1.06</v>
      </c>
      <c r="E41" s="12">
        <v>1</v>
      </c>
      <c r="F41" s="8">
        <v>0.93</v>
      </c>
      <c r="G41" s="12">
        <v>1</v>
      </c>
      <c r="H41" s="8">
        <v>1.27</v>
      </c>
      <c r="I41" s="12">
        <v>0</v>
      </c>
    </row>
    <row r="42" spans="2:9" ht="15" customHeight="1" x14ac:dyDescent="0.2">
      <c r="B42" t="s">
        <v>122</v>
      </c>
      <c r="C42" s="12">
        <v>2</v>
      </c>
      <c r="D42" s="8">
        <v>1.06</v>
      </c>
      <c r="E42" s="12">
        <v>0</v>
      </c>
      <c r="F42" s="8">
        <v>0</v>
      </c>
      <c r="G42" s="12">
        <v>2</v>
      </c>
      <c r="H42" s="8">
        <v>2.5299999999999998</v>
      </c>
      <c r="I42" s="12">
        <v>0</v>
      </c>
    </row>
    <row r="43" spans="2:9" ht="15" customHeight="1" x14ac:dyDescent="0.2">
      <c r="B43" t="s">
        <v>126</v>
      </c>
      <c r="C43" s="12">
        <v>2</v>
      </c>
      <c r="D43" s="8">
        <v>1.06</v>
      </c>
      <c r="E43" s="12">
        <v>1</v>
      </c>
      <c r="F43" s="8">
        <v>0.93</v>
      </c>
      <c r="G43" s="12">
        <v>1</v>
      </c>
      <c r="H43" s="8">
        <v>1.27</v>
      </c>
      <c r="I43" s="12">
        <v>0</v>
      </c>
    </row>
    <row r="44" spans="2:9" ht="15" customHeight="1" x14ac:dyDescent="0.2">
      <c r="B44" t="s">
        <v>117</v>
      </c>
      <c r="C44" s="12">
        <v>2</v>
      </c>
      <c r="D44" s="8">
        <v>1.06</v>
      </c>
      <c r="E44" s="12">
        <v>0</v>
      </c>
      <c r="F44" s="8">
        <v>0</v>
      </c>
      <c r="G44" s="12">
        <v>2</v>
      </c>
      <c r="H44" s="8">
        <v>2.5299999999999998</v>
      </c>
      <c r="I44" s="12">
        <v>0</v>
      </c>
    </row>
    <row r="45" spans="2:9" ht="15" customHeight="1" x14ac:dyDescent="0.2">
      <c r="B45" t="s">
        <v>143</v>
      </c>
      <c r="C45" s="12">
        <v>2</v>
      </c>
      <c r="D45" s="8">
        <v>1.06</v>
      </c>
      <c r="E45" s="12">
        <v>1</v>
      </c>
      <c r="F45" s="8">
        <v>0.93</v>
      </c>
      <c r="G45" s="12">
        <v>1</v>
      </c>
      <c r="H45" s="8">
        <v>1.27</v>
      </c>
      <c r="I45" s="12">
        <v>0</v>
      </c>
    </row>
    <row r="46" spans="2:9" ht="15" customHeight="1" x14ac:dyDescent="0.2">
      <c r="B46" t="s">
        <v>114</v>
      </c>
      <c r="C46" s="12">
        <v>2</v>
      </c>
      <c r="D46" s="8">
        <v>1.06</v>
      </c>
      <c r="E46" s="12">
        <v>0</v>
      </c>
      <c r="F46" s="8">
        <v>0</v>
      </c>
      <c r="G46" s="12">
        <v>2</v>
      </c>
      <c r="H46" s="8">
        <v>2.5299999999999998</v>
      </c>
      <c r="I46" s="12">
        <v>0</v>
      </c>
    </row>
    <row r="47" spans="2:9" ht="15" customHeight="1" x14ac:dyDescent="0.2">
      <c r="B47" t="s">
        <v>104</v>
      </c>
      <c r="C47" s="12">
        <v>2</v>
      </c>
      <c r="D47" s="8">
        <v>1.06</v>
      </c>
      <c r="E47" s="12">
        <v>1</v>
      </c>
      <c r="F47" s="8">
        <v>0.93</v>
      </c>
      <c r="G47" s="12">
        <v>1</v>
      </c>
      <c r="H47" s="8">
        <v>1.27</v>
      </c>
      <c r="I47" s="12">
        <v>0</v>
      </c>
    </row>
    <row r="48" spans="2:9" ht="15" customHeight="1" x14ac:dyDescent="0.2">
      <c r="B48" t="s">
        <v>120</v>
      </c>
      <c r="C48" s="12">
        <v>2</v>
      </c>
      <c r="D48" s="8">
        <v>1.06</v>
      </c>
      <c r="E48" s="12">
        <v>1</v>
      </c>
      <c r="F48" s="8">
        <v>0.93</v>
      </c>
      <c r="G48" s="12">
        <v>1</v>
      </c>
      <c r="H48" s="8">
        <v>1.27</v>
      </c>
      <c r="I48" s="12">
        <v>0</v>
      </c>
    </row>
    <row r="49" spans="2:9" ht="15" customHeight="1" x14ac:dyDescent="0.2">
      <c r="B49" t="s">
        <v>94</v>
      </c>
      <c r="C49" s="12">
        <v>2</v>
      </c>
      <c r="D49" s="8">
        <v>1.06</v>
      </c>
      <c r="E49" s="12">
        <v>0</v>
      </c>
      <c r="F49" s="8">
        <v>0</v>
      </c>
      <c r="G49" s="12">
        <v>2</v>
      </c>
      <c r="H49" s="8">
        <v>2.5299999999999998</v>
      </c>
      <c r="I49" s="12">
        <v>0</v>
      </c>
    </row>
    <row r="50" spans="2:9" ht="15" customHeight="1" x14ac:dyDescent="0.2">
      <c r="B50" t="s">
        <v>107</v>
      </c>
      <c r="C50" s="12">
        <v>2</v>
      </c>
      <c r="D50" s="8">
        <v>1.06</v>
      </c>
      <c r="E50" s="12">
        <v>1</v>
      </c>
      <c r="F50" s="8">
        <v>0.93</v>
      </c>
      <c r="G50" s="12">
        <v>1</v>
      </c>
      <c r="H50" s="8">
        <v>1.27</v>
      </c>
      <c r="I50" s="12">
        <v>0</v>
      </c>
    </row>
    <row r="51" spans="2:9" ht="15" customHeight="1" x14ac:dyDescent="0.2">
      <c r="B51" t="s">
        <v>102</v>
      </c>
      <c r="C51" s="12">
        <v>2</v>
      </c>
      <c r="D51" s="8">
        <v>1.06</v>
      </c>
      <c r="E51" s="12">
        <v>0</v>
      </c>
      <c r="F51" s="8">
        <v>0</v>
      </c>
      <c r="G51" s="12">
        <v>2</v>
      </c>
      <c r="H51" s="8">
        <v>2.5299999999999998</v>
      </c>
      <c r="I51" s="12">
        <v>0</v>
      </c>
    </row>
    <row r="54" spans="2:9" ht="33" customHeight="1" x14ac:dyDescent="0.2">
      <c r="B54" t="s">
        <v>250</v>
      </c>
      <c r="C54" s="10" t="s">
        <v>77</v>
      </c>
      <c r="D54" s="10" t="s">
        <v>78</v>
      </c>
      <c r="E54" s="10" t="s">
        <v>79</v>
      </c>
      <c r="F54" s="10" t="s">
        <v>80</v>
      </c>
      <c r="G54" s="10" t="s">
        <v>81</v>
      </c>
      <c r="H54" s="10" t="s">
        <v>82</v>
      </c>
      <c r="I54" s="10" t="s">
        <v>83</v>
      </c>
    </row>
    <row r="55" spans="2:9" ht="15" customHeight="1" x14ac:dyDescent="0.2">
      <c r="B55" t="s">
        <v>164</v>
      </c>
      <c r="C55" s="12">
        <v>12</v>
      </c>
      <c r="D55" s="8">
        <v>6.38</v>
      </c>
      <c r="E55" s="12">
        <v>12</v>
      </c>
      <c r="F55" s="8">
        <v>11.11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163</v>
      </c>
      <c r="C56" s="12">
        <v>9</v>
      </c>
      <c r="D56" s="8">
        <v>4.79</v>
      </c>
      <c r="E56" s="12">
        <v>9</v>
      </c>
      <c r="F56" s="8">
        <v>8.33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167</v>
      </c>
      <c r="C57" s="12">
        <v>9</v>
      </c>
      <c r="D57" s="8">
        <v>4.79</v>
      </c>
      <c r="E57" s="12">
        <v>8</v>
      </c>
      <c r="F57" s="8">
        <v>7.41</v>
      </c>
      <c r="G57" s="12">
        <v>1</v>
      </c>
      <c r="H57" s="8">
        <v>1.27</v>
      </c>
      <c r="I57" s="12">
        <v>0</v>
      </c>
    </row>
    <row r="58" spans="2:9" ht="15" customHeight="1" x14ac:dyDescent="0.2">
      <c r="B58" t="s">
        <v>150</v>
      </c>
      <c r="C58" s="12">
        <v>8</v>
      </c>
      <c r="D58" s="8">
        <v>4.26</v>
      </c>
      <c r="E58" s="12">
        <v>4</v>
      </c>
      <c r="F58" s="8">
        <v>3.7</v>
      </c>
      <c r="G58" s="12">
        <v>4</v>
      </c>
      <c r="H58" s="8">
        <v>5.0599999999999996</v>
      </c>
      <c r="I58" s="12">
        <v>0</v>
      </c>
    </row>
    <row r="59" spans="2:9" ht="15" customHeight="1" x14ac:dyDescent="0.2">
      <c r="B59" t="s">
        <v>195</v>
      </c>
      <c r="C59" s="12">
        <v>7</v>
      </c>
      <c r="D59" s="8">
        <v>3.72</v>
      </c>
      <c r="E59" s="12">
        <v>5</v>
      </c>
      <c r="F59" s="8">
        <v>4.63</v>
      </c>
      <c r="G59" s="12">
        <v>2</v>
      </c>
      <c r="H59" s="8">
        <v>2.5299999999999998</v>
      </c>
      <c r="I59" s="12">
        <v>0</v>
      </c>
    </row>
    <row r="60" spans="2:9" ht="15" customHeight="1" x14ac:dyDescent="0.2">
      <c r="B60" t="s">
        <v>148</v>
      </c>
      <c r="C60" s="12">
        <v>6</v>
      </c>
      <c r="D60" s="8">
        <v>3.19</v>
      </c>
      <c r="E60" s="12">
        <v>0</v>
      </c>
      <c r="F60" s="8">
        <v>0</v>
      </c>
      <c r="G60" s="12">
        <v>6</v>
      </c>
      <c r="H60" s="8">
        <v>7.59</v>
      </c>
      <c r="I60" s="12">
        <v>0</v>
      </c>
    </row>
    <row r="61" spans="2:9" ht="15" customHeight="1" x14ac:dyDescent="0.2">
      <c r="B61" t="s">
        <v>162</v>
      </c>
      <c r="C61" s="12">
        <v>6</v>
      </c>
      <c r="D61" s="8">
        <v>3.19</v>
      </c>
      <c r="E61" s="12">
        <v>6</v>
      </c>
      <c r="F61" s="8">
        <v>5.56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197</v>
      </c>
      <c r="C62" s="12">
        <v>5</v>
      </c>
      <c r="D62" s="8">
        <v>2.66</v>
      </c>
      <c r="E62" s="12">
        <v>4</v>
      </c>
      <c r="F62" s="8">
        <v>3.7</v>
      </c>
      <c r="G62" s="12">
        <v>1</v>
      </c>
      <c r="H62" s="8">
        <v>1.27</v>
      </c>
      <c r="I62" s="12">
        <v>0</v>
      </c>
    </row>
    <row r="63" spans="2:9" ht="15" customHeight="1" x14ac:dyDescent="0.2">
      <c r="B63" t="s">
        <v>161</v>
      </c>
      <c r="C63" s="12">
        <v>5</v>
      </c>
      <c r="D63" s="8">
        <v>2.66</v>
      </c>
      <c r="E63" s="12">
        <v>3</v>
      </c>
      <c r="F63" s="8">
        <v>2.78</v>
      </c>
      <c r="G63" s="12">
        <v>2</v>
      </c>
      <c r="H63" s="8">
        <v>2.5299999999999998</v>
      </c>
      <c r="I63" s="12">
        <v>0</v>
      </c>
    </row>
    <row r="64" spans="2:9" ht="15" customHeight="1" x14ac:dyDescent="0.2">
      <c r="B64" t="s">
        <v>230</v>
      </c>
      <c r="C64" s="12">
        <v>4</v>
      </c>
      <c r="D64" s="8">
        <v>2.13</v>
      </c>
      <c r="E64" s="12">
        <v>4</v>
      </c>
      <c r="F64" s="8">
        <v>3.7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154</v>
      </c>
      <c r="C65" s="12">
        <v>4</v>
      </c>
      <c r="D65" s="8">
        <v>2.13</v>
      </c>
      <c r="E65" s="12">
        <v>4</v>
      </c>
      <c r="F65" s="8">
        <v>3.7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149</v>
      </c>
      <c r="C66" s="12">
        <v>3</v>
      </c>
      <c r="D66" s="8">
        <v>1.6</v>
      </c>
      <c r="E66" s="12">
        <v>0</v>
      </c>
      <c r="F66" s="8">
        <v>0</v>
      </c>
      <c r="G66" s="12">
        <v>3</v>
      </c>
      <c r="H66" s="8">
        <v>3.8</v>
      </c>
      <c r="I66" s="12">
        <v>0</v>
      </c>
    </row>
    <row r="67" spans="2:9" ht="15" customHeight="1" x14ac:dyDescent="0.2">
      <c r="B67" t="s">
        <v>151</v>
      </c>
      <c r="C67" s="12">
        <v>3</v>
      </c>
      <c r="D67" s="8">
        <v>1.6</v>
      </c>
      <c r="E67" s="12">
        <v>2</v>
      </c>
      <c r="F67" s="8">
        <v>1.85</v>
      </c>
      <c r="G67" s="12">
        <v>1</v>
      </c>
      <c r="H67" s="8">
        <v>1.27</v>
      </c>
      <c r="I67" s="12">
        <v>0</v>
      </c>
    </row>
    <row r="68" spans="2:9" ht="15" customHeight="1" x14ac:dyDescent="0.2">
      <c r="B68" t="s">
        <v>209</v>
      </c>
      <c r="C68" s="12">
        <v>3</v>
      </c>
      <c r="D68" s="8">
        <v>1.6</v>
      </c>
      <c r="E68" s="12">
        <v>2</v>
      </c>
      <c r="F68" s="8">
        <v>1.85</v>
      </c>
      <c r="G68" s="12">
        <v>1</v>
      </c>
      <c r="H68" s="8">
        <v>1.27</v>
      </c>
      <c r="I68" s="12">
        <v>0</v>
      </c>
    </row>
    <row r="69" spans="2:9" ht="15" customHeight="1" x14ac:dyDescent="0.2">
      <c r="B69" t="s">
        <v>174</v>
      </c>
      <c r="C69" s="12">
        <v>3</v>
      </c>
      <c r="D69" s="8">
        <v>1.6</v>
      </c>
      <c r="E69" s="12">
        <v>0</v>
      </c>
      <c r="F69" s="8">
        <v>0</v>
      </c>
      <c r="G69" s="12">
        <v>3</v>
      </c>
      <c r="H69" s="8">
        <v>3.8</v>
      </c>
      <c r="I69" s="12">
        <v>0</v>
      </c>
    </row>
    <row r="70" spans="2:9" ht="15" customHeight="1" x14ac:dyDescent="0.2">
      <c r="B70" t="s">
        <v>152</v>
      </c>
      <c r="C70" s="12">
        <v>3</v>
      </c>
      <c r="D70" s="8">
        <v>1.6</v>
      </c>
      <c r="E70" s="12">
        <v>1</v>
      </c>
      <c r="F70" s="8">
        <v>0.93</v>
      </c>
      <c r="G70" s="12">
        <v>2</v>
      </c>
      <c r="H70" s="8">
        <v>2.5299999999999998</v>
      </c>
      <c r="I70" s="12">
        <v>0</v>
      </c>
    </row>
    <row r="71" spans="2:9" ht="15" customHeight="1" x14ac:dyDescent="0.2">
      <c r="B71" t="s">
        <v>153</v>
      </c>
      <c r="C71" s="12">
        <v>3</v>
      </c>
      <c r="D71" s="8">
        <v>1.6</v>
      </c>
      <c r="E71" s="12">
        <v>0</v>
      </c>
      <c r="F71" s="8">
        <v>0</v>
      </c>
      <c r="G71" s="12">
        <v>3</v>
      </c>
      <c r="H71" s="8">
        <v>3.8</v>
      </c>
      <c r="I71" s="12">
        <v>0</v>
      </c>
    </row>
    <row r="72" spans="2:9" ht="15" customHeight="1" x14ac:dyDescent="0.2">
      <c r="B72" t="s">
        <v>189</v>
      </c>
      <c r="C72" s="12">
        <v>3</v>
      </c>
      <c r="D72" s="8">
        <v>1.6</v>
      </c>
      <c r="E72" s="12">
        <v>3</v>
      </c>
      <c r="F72" s="8">
        <v>2.78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198</v>
      </c>
      <c r="C73" s="12">
        <v>3</v>
      </c>
      <c r="D73" s="8">
        <v>1.6</v>
      </c>
      <c r="E73" s="12">
        <v>3</v>
      </c>
      <c r="F73" s="8">
        <v>2.78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204</v>
      </c>
      <c r="C74" s="12">
        <v>3</v>
      </c>
      <c r="D74" s="8">
        <v>1.6</v>
      </c>
      <c r="E74" s="12">
        <v>3</v>
      </c>
      <c r="F74" s="8">
        <v>2.78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192</v>
      </c>
      <c r="C75" s="12">
        <v>3</v>
      </c>
      <c r="D75" s="8">
        <v>1.6</v>
      </c>
      <c r="E75" s="12">
        <v>2</v>
      </c>
      <c r="F75" s="8">
        <v>1.85</v>
      </c>
      <c r="G75" s="12">
        <v>1</v>
      </c>
      <c r="H75" s="8">
        <v>1.27</v>
      </c>
      <c r="I75" s="12">
        <v>0</v>
      </c>
    </row>
    <row r="76" spans="2:9" ht="15" customHeight="1" x14ac:dyDescent="0.2">
      <c r="B76" t="s">
        <v>170</v>
      </c>
      <c r="C76" s="12">
        <v>3</v>
      </c>
      <c r="D76" s="8">
        <v>1.6</v>
      </c>
      <c r="E76" s="12">
        <v>3</v>
      </c>
      <c r="F76" s="8">
        <v>2.78</v>
      </c>
      <c r="G76" s="12">
        <v>0</v>
      </c>
      <c r="H76" s="8">
        <v>0</v>
      </c>
      <c r="I76" s="12">
        <v>0</v>
      </c>
    </row>
    <row r="78" spans="2:9" ht="15" customHeight="1" x14ac:dyDescent="0.2">
      <c r="B7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6BCE4-A41A-400E-B50C-443A6CE80C3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309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57</v>
      </c>
      <c r="D6" s="8">
        <v>18.27</v>
      </c>
      <c r="E6" s="12">
        <v>32</v>
      </c>
      <c r="F6" s="8">
        <v>18.079999999999998</v>
      </c>
      <c r="G6" s="12">
        <v>25</v>
      </c>
      <c r="H6" s="8">
        <v>18.940000000000001</v>
      </c>
      <c r="I6" s="12">
        <v>0</v>
      </c>
    </row>
    <row r="7" spans="2:9" ht="15" customHeight="1" x14ac:dyDescent="0.2">
      <c r="B7" t="s">
        <v>63</v>
      </c>
      <c r="C7" s="12">
        <v>41</v>
      </c>
      <c r="D7" s="8">
        <v>13.14</v>
      </c>
      <c r="E7" s="12">
        <v>15</v>
      </c>
      <c r="F7" s="8">
        <v>8.4700000000000006</v>
      </c>
      <c r="G7" s="12">
        <v>26</v>
      </c>
      <c r="H7" s="8">
        <v>19.7</v>
      </c>
      <c r="I7" s="12">
        <v>0</v>
      </c>
    </row>
    <row r="8" spans="2:9" ht="15" customHeight="1" x14ac:dyDescent="0.2">
      <c r="B8" t="s">
        <v>64</v>
      </c>
      <c r="C8" s="12">
        <v>1</v>
      </c>
      <c r="D8" s="8">
        <v>0.32</v>
      </c>
      <c r="E8" s="12">
        <v>0</v>
      </c>
      <c r="F8" s="8">
        <v>0</v>
      </c>
      <c r="G8" s="12">
        <v>1</v>
      </c>
      <c r="H8" s="8">
        <v>0.76</v>
      </c>
      <c r="I8" s="12">
        <v>0</v>
      </c>
    </row>
    <row r="9" spans="2:9" ht="15" customHeight="1" x14ac:dyDescent="0.2">
      <c r="B9" t="s">
        <v>65</v>
      </c>
      <c r="C9" s="12">
        <v>2</v>
      </c>
      <c r="D9" s="8">
        <v>0.64</v>
      </c>
      <c r="E9" s="12">
        <v>1</v>
      </c>
      <c r="F9" s="8">
        <v>0.56000000000000005</v>
      </c>
      <c r="G9" s="12">
        <v>1</v>
      </c>
      <c r="H9" s="8">
        <v>0.76</v>
      </c>
      <c r="I9" s="12">
        <v>0</v>
      </c>
    </row>
    <row r="10" spans="2:9" ht="15" customHeight="1" x14ac:dyDescent="0.2">
      <c r="B10" t="s">
        <v>66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67</v>
      </c>
      <c r="C11" s="12">
        <v>88</v>
      </c>
      <c r="D11" s="8">
        <v>28.21</v>
      </c>
      <c r="E11" s="12">
        <v>43</v>
      </c>
      <c r="F11" s="8">
        <v>24.29</v>
      </c>
      <c r="G11" s="12">
        <v>45</v>
      </c>
      <c r="H11" s="8">
        <v>34.090000000000003</v>
      </c>
      <c r="I11" s="12">
        <v>0</v>
      </c>
    </row>
    <row r="12" spans="2:9" ht="15" customHeight="1" x14ac:dyDescent="0.2">
      <c r="B12" t="s">
        <v>68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69</v>
      </c>
      <c r="C13" s="12">
        <v>11</v>
      </c>
      <c r="D13" s="8">
        <v>3.53</v>
      </c>
      <c r="E13" s="12">
        <v>3</v>
      </c>
      <c r="F13" s="8">
        <v>1.69</v>
      </c>
      <c r="G13" s="12">
        <v>8</v>
      </c>
      <c r="H13" s="8">
        <v>6.06</v>
      </c>
      <c r="I13" s="12">
        <v>0</v>
      </c>
    </row>
    <row r="14" spans="2:9" ht="15" customHeight="1" x14ac:dyDescent="0.2">
      <c r="B14" t="s">
        <v>70</v>
      </c>
      <c r="C14" s="12">
        <v>3</v>
      </c>
      <c r="D14" s="8">
        <v>0.96</v>
      </c>
      <c r="E14" s="12">
        <v>3</v>
      </c>
      <c r="F14" s="8">
        <v>1.69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71</v>
      </c>
      <c r="C15" s="12">
        <v>51</v>
      </c>
      <c r="D15" s="8">
        <v>16.350000000000001</v>
      </c>
      <c r="E15" s="12">
        <v>40</v>
      </c>
      <c r="F15" s="8">
        <v>22.6</v>
      </c>
      <c r="G15" s="12">
        <v>11</v>
      </c>
      <c r="H15" s="8">
        <v>8.33</v>
      </c>
      <c r="I15" s="12">
        <v>0</v>
      </c>
    </row>
    <row r="16" spans="2:9" ht="15" customHeight="1" x14ac:dyDescent="0.2">
      <c r="B16" t="s">
        <v>72</v>
      </c>
      <c r="C16" s="12">
        <v>36</v>
      </c>
      <c r="D16" s="8">
        <v>11.54</v>
      </c>
      <c r="E16" s="12">
        <v>28</v>
      </c>
      <c r="F16" s="8">
        <v>15.82</v>
      </c>
      <c r="G16" s="12">
        <v>7</v>
      </c>
      <c r="H16" s="8">
        <v>5.3</v>
      </c>
      <c r="I16" s="12">
        <v>0</v>
      </c>
    </row>
    <row r="17" spans="2:9" ht="15" customHeight="1" x14ac:dyDescent="0.2">
      <c r="B17" t="s">
        <v>73</v>
      </c>
      <c r="C17" s="12">
        <v>4</v>
      </c>
      <c r="D17" s="8">
        <v>1.28</v>
      </c>
      <c r="E17" s="12">
        <v>3</v>
      </c>
      <c r="F17" s="8">
        <v>1.69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74</v>
      </c>
      <c r="C18" s="12">
        <v>7</v>
      </c>
      <c r="D18" s="8">
        <v>2.2400000000000002</v>
      </c>
      <c r="E18" s="12">
        <v>4</v>
      </c>
      <c r="F18" s="8">
        <v>2.2599999999999998</v>
      </c>
      <c r="G18" s="12">
        <v>3</v>
      </c>
      <c r="H18" s="8">
        <v>2.27</v>
      </c>
      <c r="I18" s="12">
        <v>0</v>
      </c>
    </row>
    <row r="19" spans="2:9" ht="15" customHeight="1" x14ac:dyDescent="0.2">
      <c r="B19" t="s">
        <v>75</v>
      </c>
      <c r="C19" s="12">
        <v>11</v>
      </c>
      <c r="D19" s="8">
        <v>3.53</v>
      </c>
      <c r="E19" s="12">
        <v>5</v>
      </c>
      <c r="F19" s="8">
        <v>2.82</v>
      </c>
      <c r="G19" s="12">
        <v>5</v>
      </c>
      <c r="H19" s="8">
        <v>3.79</v>
      </c>
      <c r="I19" s="12">
        <v>0</v>
      </c>
    </row>
    <row r="20" spans="2:9" ht="15" customHeight="1" x14ac:dyDescent="0.2">
      <c r="B20" s="9" t="s">
        <v>248</v>
      </c>
      <c r="C20" s="12">
        <f>SUM(LTBL_12441[総数／事業所数])</f>
        <v>312</v>
      </c>
      <c r="E20" s="12">
        <f>SUBTOTAL(109,LTBL_12441[個人／事業所数])</f>
        <v>177</v>
      </c>
      <c r="G20" s="12">
        <f>SUBTOTAL(109,LTBL_12441[法人／事業所数])</f>
        <v>132</v>
      </c>
      <c r="I20" s="12">
        <f>SUBTOTAL(109,LTBL_12441[法人以外の団体／事業所数])</f>
        <v>0</v>
      </c>
    </row>
    <row r="21" spans="2:9" ht="15" customHeight="1" x14ac:dyDescent="0.2">
      <c r="E21" s="11">
        <f>LTBL_12441[[#Totals],[個人／事業所数]]/LTBL_12441[[#Totals],[総数／事業所数]]</f>
        <v>0.56730769230769229</v>
      </c>
      <c r="G21" s="11">
        <f>LTBL_12441[[#Totals],[法人／事業所数]]/LTBL_12441[[#Totals],[総数／事業所数]]</f>
        <v>0.42307692307692307</v>
      </c>
      <c r="I21" s="11">
        <f>LTBL_12441[[#Totals],[法人以外の団体／事業所数]]/LTBL_12441[[#Totals],[総数／事業所数]]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97</v>
      </c>
      <c r="C24" s="12">
        <v>44</v>
      </c>
      <c r="D24" s="8">
        <v>14.1</v>
      </c>
      <c r="E24" s="12">
        <v>35</v>
      </c>
      <c r="F24" s="8">
        <v>19.77</v>
      </c>
      <c r="G24" s="12">
        <v>9</v>
      </c>
      <c r="H24" s="8">
        <v>6.82</v>
      </c>
      <c r="I24" s="12">
        <v>0</v>
      </c>
    </row>
    <row r="25" spans="2:9" ht="15" customHeight="1" x14ac:dyDescent="0.2">
      <c r="B25" t="s">
        <v>92</v>
      </c>
      <c r="C25" s="12">
        <v>37</v>
      </c>
      <c r="D25" s="8">
        <v>11.86</v>
      </c>
      <c r="E25" s="12">
        <v>21</v>
      </c>
      <c r="F25" s="8">
        <v>11.86</v>
      </c>
      <c r="G25" s="12">
        <v>16</v>
      </c>
      <c r="H25" s="8">
        <v>12.12</v>
      </c>
      <c r="I25" s="12">
        <v>0</v>
      </c>
    </row>
    <row r="26" spans="2:9" ht="15" customHeight="1" x14ac:dyDescent="0.2">
      <c r="B26" t="s">
        <v>98</v>
      </c>
      <c r="C26" s="12">
        <v>31</v>
      </c>
      <c r="D26" s="8">
        <v>9.94</v>
      </c>
      <c r="E26" s="12">
        <v>27</v>
      </c>
      <c r="F26" s="8">
        <v>15.25</v>
      </c>
      <c r="G26" s="12">
        <v>4</v>
      </c>
      <c r="H26" s="8">
        <v>3.03</v>
      </c>
      <c r="I26" s="12">
        <v>0</v>
      </c>
    </row>
    <row r="27" spans="2:9" ht="15" customHeight="1" x14ac:dyDescent="0.2">
      <c r="B27" t="s">
        <v>85</v>
      </c>
      <c r="C27" s="12">
        <v>25</v>
      </c>
      <c r="D27" s="8">
        <v>8.01</v>
      </c>
      <c r="E27" s="12">
        <v>16</v>
      </c>
      <c r="F27" s="8">
        <v>9.0399999999999991</v>
      </c>
      <c r="G27" s="12">
        <v>9</v>
      </c>
      <c r="H27" s="8">
        <v>6.82</v>
      </c>
      <c r="I27" s="12">
        <v>0</v>
      </c>
    </row>
    <row r="28" spans="2:9" ht="15" customHeight="1" x14ac:dyDescent="0.2">
      <c r="B28" t="s">
        <v>84</v>
      </c>
      <c r="C28" s="12">
        <v>20</v>
      </c>
      <c r="D28" s="8">
        <v>6.41</v>
      </c>
      <c r="E28" s="12">
        <v>8</v>
      </c>
      <c r="F28" s="8">
        <v>4.5199999999999996</v>
      </c>
      <c r="G28" s="12">
        <v>12</v>
      </c>
      <c r="H28" s="8">
        <v>9.09</v>
      </c>
      <c r="I28" s="12">
        <v>0</v>
      </c>
    </row>
    <row r="29" spans="2:9" ht="15" customHeight="1" x14ac:dyDescent="0.2">
      <c r="B29" t="s">
        <v>90</v>
      </c>
      <c r="C29" s="12">
        <v>20</v>
      </c>
      <c r="D29" s="8">
        <v>6.41</v>
      </c>
      <c r="E29" s="12">
        <v>10</v>
      </c>
      <c r="F29" s="8">
        <v>5.65</v>
      </c>
      <c r="G29" s="12">
        <v>10</v>
      </c>
      <c r="H29" s="8">
        <v>7.58</v>
      </c>
      <c r="I29" s="12">
        <v>0</v>
      </c>
    </row>
    <row r="30" spans="2:9" ht="15" customHeight="1" x14ac:dyDescent="0.2">
      <c r="B30" t="s">
        <v>86</v>
      </c>
      <c r="C30" s="12">
        <v>12</v>
      </c>
      <c r="D30" s="8">
        <v>3.85</v>
      </c>
      <c r="E30" s="12">
        <v>8</v>
      </c>
      <c r="F30" s="8">
        <v>4.5199999999999996</v>
      </c>
      <c r="G30" s="12">
        <v>4</v>
      </c>
      <c r="H30" s="8">
        <v>3.03</v>
      </c>
      <c r="I30" s="12">
        <v>0</v>
      </c>
    </row>
    <row r="31" spans="2:9" ht="15" customHeight="1" x14ac:dyDescent="0.2">
      <c r="B31" t="s">
        <v>91</v>
      </c>
      <c r="C31" s="12">
        <v>12</v>
      </c>
      <c r="D31" s="8">
        <v>3.85</v>
      </c>
      <c r="E31" s="12">
        <v>5</v>
      </c>
      <c r="F31" s="8">
        <v>2.82</v>
      </c>
      <c r="G31" s="12">
        <v>7</v>
      </c>
      <c r="H31" s="8">
        <v>5.3</v>
      </c>
      <c r="I31" s="12">
        <v>0</v>
      </c>
    </row>
    <row r="32" spans="2:9" ht="15" customHeight="1" x14ac:dyDescent="0.2">
      <c r="B32" t="s">
        <v>103</v>
      </c>
      <c r="C32" s="12">
        <v>8</v>
      </c>
      <c r="D32" s="8">
        <v>2.56</v>
      </c>
      <c r="E32" s="12">
        <v>5</v>
      </c>
      <c r="F32" s="8">
        <v>2.82</v>
      </c>
      <c r="G32" s="12">
        <v>3</v>
      </c>
      <c r="H32" s="8">
        <v>2.27</v>
      </c>
      <c r="I32" s="12">
        <v>0</v>
      </c>
    </row>
    <row r="33" spans="2:9" ht="15" customHeight="1" x14ac:dyDescent="0.2">
      <c r="B33" t="s">
        <v>110</v>
      </c>
      <c r="C33" s="12">
        <v>7</v>
      </c>
      <c r="D33" s="8">
        <v>2.2400000000000002</v>
      </c>
      <c r="E33" s="12">
        <v>4</v>
      </c>
      <c r="F33" s="8">
        <v>2.2599999999999998</v>
      </c>
      <c r="G33" s="12">
        <v>3</v>
      </c>
      <c r="H33" s="8">
        <v>2.27</v>
      </c>
      <c r="I33" s="12">
        <v>0</v>
      </c>
    </row>
    <row r="34" spans="2:9" ht="15" customHeight="1" x14ac:dyDescent="0.2">
      <c r="B34" t="s">
        <v>106</v>
      </c>
      <c r="C34" s="12">
        <v>7</v>
      </c>
      <c r="D34" s="8">
        <v>2.2400000000000002</v>
      </c>
      <c r="E34" s="12">
        <v>1</v>
      </c>
      <c r="F34" s="8">
        <v>0.56000000000000005</v>
      </c>
      <c r="G34" s="12">
        <v>6</v>
      </c>
      <c r="H34" s="8">
        <v>4.55</v>
      </c>
      <c r="I34" s="12">
        <v>0</v>
      </c>
    </row>
    <row r="35" spans="2:9" ht="15" customHeight="1" x14ac:dyDescent="0.2">
      <c r="B35" t="s">
        <v>141</v>
      </c>
      <c r="C35" s="12">
        <v>6</v>
      </c>
      <c r="D35" s="8">
        <v>1.92</v>
      </c>
      <c r="E35" s="12">
        <v>1</v>
      </c>
      <c r="F35" s="8">
        <v>0.56000000000000005</v>
      </c>
      <c r="G35" s="12">
        <v>5</v>
      </c>
      <c r="H35" s="8">
        <v>3.79</v>
      </c>
      <c r="I35" s="12">
        <v>0</v>
      </c>
    </row>
    <row r="36" spans="2:9" ht="15" customHeight="1" x14ac:dyDescent="0.2">
      <c r="B36" t="s">
        <v>94</v>
      </c>
      <c r="C36" s="12">
        <v>6</v>
      </c>
      <c r="D36" s="8">
        <v>1.92</v>
      </c>
      <c r="E36" s="12">
        <v>3</v>
      </c>
      <c r="F36" s="8">
        <v>1.69</v>
      </c>
      <c r="G36" s="12">
        <v>3</v>
      </c>
      <c r="H36" s="8">
        <v>2.27</v>
      </c>
      <c r="I36" s="12">
        <v>0</v>
      </c>
    </row>
    <row r="37" spans="2:9" ht="15" customHeight="1" x14ac:dyDescent="0.2">
      <c r="B37" t="s">
        <v>126</v>
      </c>
      <c r="C37" s="12">
        <v>5</v>
      </c>
      <c r="D37" s="8">
        <v>1.6</v>
      </c>
      <c r="E37" s="12">
        <v>3</v>
      </c>
      <c r="F37" s="8">
        <v>1.69</v>
      </c>
      <c r="G37" s="12">
        <v>2</v>
      </c>
      <c r="H37" s="8">
        <v>1.52</v>
      </c>
      <c r="I37" s="12">
        <v>0</v>
      </c>
    </row>
    <row r="38" spans="2:9" ht="15" customHeight="1" x14ac:dyDescent="0.2">
      <c r="B38" t="s">
        <v>87</v>
      </c>
      <c r="C38" s="12">
        <v>5</v>
      </c>
      <c r="D38" s="8">
        <v>1.6</v>
      </c>
      <c r="E38" s="12">
        <v>0</v>
      </c>
      <c r="F38" s="8">
        <v>0</v>
      </c>
      <c r="G38" s="12">
        <v>5</v>
      </c>
      <c r="H38" s="8">
        <v>3.79</v>
      </c>
      <c r="I38" s="12">
        <v>0</v>
      </c>
    </row>
    <row r="39" spans="2:9" ht="15" customHeight="1" x14ac:dyDescent="0.2">
      <c r="B39" t="s">
        <v>111</v>
      </c>
      <c r="C39" s="12">
        <v>5</v>
      </c>
      <c r="D39" s="8">
        <v>1.6</v>
      </c>
      <c r="E39" s="12">
        <v>3</v>
      </c>
      <c r="F39" s="8">
        <v>1.69</v>
      </c>
      <c r="G39" s="12">
        <v>2</v>
      </c>
      <c r="H39" s="8">
        <v>1.52</v>
      </c>
      <c r="I39" s="12">
        <v>0</v>
      </c>
    </row>
    <row r="40" spans="2:9" ht="15" customHeight="1" x14ac:dyDescent="0.2">
      <c r="B40" t="s">
        <v>101</v>
      </c>
      <c r="C40" s="12">
        <v>5</v>
      </c>
      <c r="D40" s="8">
        <v>1.6</v>
      </c>
      <c r="E40" s="12">
        <v>4</v>
      </c>
      <c r="F40" s="8">
        <v>2.2599999999999998</v>
      </c>
      <c r="G40" s="12">
        <v>1</v>
      </c>
      <c r="H40" s="8">
        <v>0.76</v>
      </c>
      <c r="I40" s="12">
        <v>0</v>
      </c>
    </row>
    <row r="41" spans="2:9" ht="15" customHeight="1" x14ac:dyDescent="0.2">
      <c r="B41" t="s">
        <v>120</v>
      </c>
      <c r="C41" s="12">
        <v>4</v>
      </c>
      <c r="D41" s="8">
        <v>1.28</v>
      </c>
      <c r="E41" s="12">
        <v>1</v>
      </c>
      <c r="F41" s="8">
        <v>0.56000000000000005</v>
      </c>
      <c r="G41" s="12">
        <v>3</v>
      </c>
      <c r="H41" s="8">
        <v>2.27</v>
      </c>
      <c r="I41" s="12">
        <v>0</v>
      </c>
    </row>
    <row r="42" spans="2:9" ht="15" customHeight="1" x14ac:dyDescent="0.2">
      <c r="B42" t="s">
        <v>112</v>
      </c>
      <c r="C42" s="12">
        <v>4</v>
      </c>
      <c r="D42" s="8">
        <v>1.28</v>
      </c>
      <c r="E42" s="12">
        <v>0</v>
      </c>
      <c r="F42" s="8">
        <v>0</v>
      </c>
      <c r="G42" s="12">
        <v>3</v>
      </c>
      <c r="H42" s="8">
        <v>2.27</v>
      </c>
      <c r="I42" s="12">
        <v>0</v>
      </c>
    </row>
    <row r="43" spans="2:9" ht="15" customHeight="1" x14ac:dyDescent="0.2">
      <c r="B43" t="s">
        <v>100</v>
      </c>
      <c r="C43" s="12">
        <v>4</v>
      </c>
      <c r="D43" s="8">
        <v>1.28</v>
      </c>
      <c r="E43" s="12">
        <v>3</v>
      </c>
      <c r="F43" s="8">
        <v>1.69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161</v>
      </c>
      <c r="C47" s="12">
        <v>14</v>
      </c>
      <c r="D47" s="8">
        <v>4.49</v>
      </c>
      <c r="E47" s="12">
        <v>8</v>
      </c>
      <c r="F47" s="8">
        <v>4.5199999999999996</v>
      </c>
      <c r="G47" s="12">
        <v>6</v>
      </c>
      <c r="H47" s="8">
        <v>4.55</v>
      </c>
      <c r="I47" s="12">
        <v>0</v>
      </c>
    </row>
    <row r="48" spans="2:9" ht="15" customHeight="1" x14ac:dyDescent="0.2">
      <c r="B48" t="s">
        <v>163</v>
      </c>
      <c r="C48" s="12">
        <v>14</v>
      </c>
      <c r="D48" s="8">
        <v>4.49</v>
      </c>
      <c r="E48" s="12">
        <v>14</v>
      </c>
      <c r="F48" s="8">
        <v>7.91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156</v>
      </c>
      <c r="C49" s="12">
        <v>13</v>
      </c>
      <c r="D49" s="8">
        <v>4.17</v>
      </c>
      <c r="E49" s="12">
        <v>6</v>
      </c>
      <c r="F49" s="8">
        <v>3.39</v>
      </c>
      <c r="G49" s="12">
        <v>7</v>
      </c>
      <c r="H49" s="8">
        <v>5.3</v>
      </c>
      <c r="I49" s="12">
        <v>0</v>
      </c>
    </row>
    <row r="50" spans="2:9" ht="15" customHeight="1" x14ac:dyDescent="0.2">
      <c r="B50" t="s">
        <v>164</v>
      </c>
      <c r="C50" s="12">
        <v>11</v>
      </c>
      <c r="D50" s="8">
        <v>3.53</v>
      </c>
      <c r="E50" s="12">
        <v>9</v>
      </c>
      <c r="F50" s="8">
        <v>5.08</v>
      </c>
      <c r="G50" s="12">
        <v>2</v>
      </c>
      <c r="H50" s="8">
        <v>1.52</v>
      </c>
      <c r="I50" s="12">
        <v>0</v>
      </c>
    </row>
    <row r="51" spans="2:9" ht="15" customHeight="1" x14ac:dyDescent="0.2">
      <c r="B51" t="s">
        <v>192</v>
      </c>
      <c r="C51" s="12">
        <v>10</v>
      </c>
      <c r="D51" s="8">
        <v>3.21</v>
      </c>
      <c r="E51" s="12">
        <v>9</v>
      </c>
      <c r="F51" s="8">
        <v>5.08</v>
      </c>
      <c r="G51" s="12">
        <v>1</v>
      </c>
      <c r="H51" s="8">
        <v>0.76</v>
      </c>
      <c r="I51" s="12">
        <v>0</v>
      </c>
    </row>
    <row r="52" spans="2:9" ht="15" customHeight="1" x14ac:dyDescent="0.2">
      <c r="B52" t="s">
        <v>149</v>
      </c>
      <c r="C52" s="12">
        <v>8</v>
      </c>
      <c r="D52" s="8">
        <v>2.56</v>
      </c>
      <c r="E52" s="12">
        <v>4</v>
      </c>
      <c r="F52" s="8">
        <v>2.2599999999999998</v>
      </c>
      <c r="G52" s="12">
        <v>4</v>
      </c>
      <c r="H52" s="8">
        <v>3.03</v>
      </c>
      <c r="I52" s="12">
        <v>0</v>
      </c>
    </row>
    <row r="53" spans="2:9" ht="15" customHeight="1" x14ac:dyDescent="0.2">
      <c r="B53" t="s">
        <v>167</v>
      </c>
      <c r="C53" s="12">
        <v>8</v>
      </c>
      <c r="D53" s="8">
        <v>2.56</v>
      </c>
      <c r="E53" s="12">
        <v>5</v>
      </c>
      <c r="F53" s="8">
        <v>2.82</v>
      </c>
      <c r="G53" s="12">
        <v>3</v>
      </c>
      <c r="H53" s="8">
        <v>2.27</v>
      </c>
      <c r="I53" s="12">
        <v>0</v>
      </c>
    </row>
    <row r="54" spans="2:9" ht="15" customHeight="1" x14ac:dyDescent="0.2">
      <c r="B54" t="s">
        <v>209</v>
      </c>
      <c r="C54" s="12">
        <v>7</v>
      </c>
      <c r="D54" s="8">
        <v>2.2400000000000002</v>
      </c>
      <c r="E54" s="12">
        <v>4</v>
      </c>
      <c r="F54" s="8">
        <v>2.2599999999999998</v>
      </c>
      <c r="G54" s="12">
        <v>3</v>
      </c>
      <c r="H54" s="8">
        <v>2.27</v>
      </c>
      <c r="I54" s="12">
        <v>0</v>
      </c>
    </row>
    <row r="55" spans="2:9" ht="15" customHeight="1" x14ac:dyDescent="0.2">
      <c r="B55" t="s">
        <v>152</v>
      </c>
      <c r="C55" s="12">
        <v>7</v>
      </c>
      <c r="D55" s="8">
        <v>2.2400000000000002</v>
      </c>
      <c r="E55" s="12">
        <v>5</v>
      </c>
      <c r="F55" s="8">
        <v>2.82</v>
      </c>
      <c r="G55" s="12">
        <v>2</v>
      </c>
      <c r="H55" s="8">
        <v>1.52</v>
      </c>
      <c r="I55" s="12">
        <v>0</v>
      </c>
    </row>
    <row r="56" spans="2:9" ht="15" customHeight="1" x14ac:dyDescent="0.2">
      <c r="B56" t="s">
        <v>155</v>
      </c>
      <c r="C56" s="12">
        <v>7</v>
      </c>
      <c r="D56" s="8">
        <v>2.2400000000000002</v>
      </c>
      <c r="E56" s="12">
        <v>3</v>
      </c>
      <c r="F56" s="8">
        <v>1.69</v>
      </c>
      <c r="G56" s="12">
        <v>4</v>
      </c>
      <c r="H56" s="8">
        <v>3.03</v>
      </c>
      <c r="I56" s="12">
        <v>0</v>
      </c>
    </row>
    <row r="57" spans="2:9" ht="15" customHeight="1" x14ac:dyDescent="0.2">
      <c r="B57" t="s">
        <v>191</v>
      </c>
      <c r="C57" s="12">
        <v>7</v>
      </c>
      <c r="D57" s="8">
        <v>2.2400000000000002</v>
      </c>
      <c r="E57" s="12">
        <v>3</v>
      </c>
      <c r="F57" s="8">
        <v>1.69</v>
      </c>
      <c r="G57" s="12">
        <v>4</v>
      </c>
      <c r="H57" s="8">
        <v>3.03</v>
      </c>
      <c r="I57" s="12">
        <v>0</v>
      </c>
    </row>
    <row r="58" spans="2:9" ht="15" customHeight="1" x14ac:dyDescent="0.2">
      <c r="B58" t="s">
        <v>148</v>
      </c>
      <c r="C58" s="12">
        <v>6</v>
      </c>
      <c r="D58" s="8">
        <v>1.92</v>
      </c>
      <c r="E58" s="12">
        <v>1</v>
      </c>
      <c r="F58" s="8">
        <v>0.56000000000000005</v>
      </c>
      <c r="G58" s="12">
        <v>5</v>
      </c>
      <c r="H58" s="8">
        <v>3.79</v>
      </c>
      <c r="I58" s="12">
        <v>0</v>
      </c>
    </row>
    <row r="59" spans="2:9" ht="15" customHeight="1" x14ac:dyDescent="0.2">
      <c r="B59" t="s">
        <v>235</v>
      </c>
      <c r="C59" s="12">
        <v>6</v>
      </c>
      <c r="D59" s="8">
        <v>1.92</v>
      </c>
      <c r="E59" s="12">
        <v>1</v>
      </c>
      <c r="F59" s="8">
        <v>0.56000000000000005</v>
      </c>
      <c r="G59" s="12">
        <v>5</v>
      </c>
      <c r="H59" s="8">
        <v>3.79</v>
      </c>
      <c r="I59" s="12">
        <v>0</v>
      </c>
    </row>
    <row r="60" spans="2:9" ht="15" customHeight="1" x14ac:dyDescent="0.2">
      <c r="B60" t="s">
        <v>198</v>
      </c>
      <c r="C60" s="12">
        <v>6</v>
      </c>
      <c r="D60" s="8">
        <v>1.92</v>
      </c>
      <c r="E60" s="12">
        <v>3</v>
      </c>
      <c r="F60" s="8">
        <v>1.69</v>
      </c>
      <c r="G60" s="12">
        <v>3</v>
      </c>
      <c r="H60" s="8">
        <v>2.27</v>
      </c>
      <c r="I60" s="12">
        <v>0</v>
      </c>
    </row>
    <row r="61" spans="2:9" ht="15" customHeight="1" x14ac:dyDescent="0.2">
      <c r="B61" t="s">
        <v>162</v>
      </c>
      <c r="C61" s="12">
        <v>6</v>
      </c>
      <c r="D61" s="8">
        <v>1.92</v>
      </c>
      <c r="E61" s="12">
        <v>5</v>
      </c>
      <c r="F61" s="8">
        <v>2.82</v>
      </c>
      <c r="G61" s="12">
        <v>1</v>
      </c>
      <c r="H61" s="8">
        <v>0.76</v>
      </c>
      <c r="I61" s="12">
        <v>0</v>
      </c>
    </row>
    <row r="62" spans="2:9" ht="15" customHeight="1" x14ac:dyDescent="0.2">
      <c r="B62" t="s">
        <v>195</v>
      </c>
      <c r="C62" s="12">
        <v>6</v>
      </c>
      <c r="D62" s="8">
        <v>1.92</v>
      </c>
      <c r="E62" s="12">
        <v>6</v>
      </c>
      <c r="F62" s="8">
        <v>3.39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150</v>
      </c>
      <c r="C63" s="12">
        <v>5</v>
      </c>
      <c r="D63" s="8">
        <v>1.6</v>
      </c>
      <c r="E63" s="12">
        <v>3</v>
      </c>
      <c r="F63" s="8">
        <v>1.69</v>
      </c>
      <c r="G63" s="12">
        <v>2</v>
      </c>
      <c r="H63" s="8">
        <v>1.52</v>
      </c>
      <c r="I63" s="12">
        <v>0</v>
      </c>
    </row>
    <row r="64" spans="2:9" ht="15" customHeight="1" x14ac:dyDescent="0.2">
      <c r="B64" t="s">
        <v>153</v>
      </c>
      <c r="C64" s="12">
        <v>5</v>
      </c>
      <c r="D64" s="8">
        <v>1.6</v>
      </c>
      <c r="E64" s="12">
        <v>3</v>
      </c>
      <c r="F64" s="8">
        <v>1.69</v>
      </c>
      <c r="G64" s="12">
        <v>2</v>
      </c>
      <c r="H64" s="8">
        <v>1.52</v>
      </c>
      <c r="I64" s="12">
        <v>0</v>
      </c>
    </row>
    <row r="65" spans="2:9" ht="15" customHeight="1" x14ac:dyDescent="0.2">
      <c r="B65" t="s">
        <v>158</v>
      </c>
      <c r="C65" s="12">
        <v>5</v>
      </c>
      <c r="D65" s="8">
        <v>1.6</v>
      </c>
      <c r="E65" s="12">
        <v>3</v>
      </c>
      <c r="F65" s="8">
        <v>1.69</v>
      </c>
      <c r="G65" s="12">
        <v>2</v>
      </c>
      <c r="H65" s="8">
        <v>1.52</v>
      </c>
      <c r="I65" s="12">
        <v>0</v>
      </c>
    </row>
    <row r="66" spans="2:9" ht="15" customHeight="1" x14ac:dyDescent="0.2">
      <c r="B66" t="s">
        <v>169</v>
      </c>
      <c r="C66" s="12">
        <v>5</v>
      </c>
      <c r="D66" s="8">
        <v>1.6</v>
      </c>
      <c r="E66" s="12">
        <v>3</v>
      </c>
      <c r="F66" s="8">
        <v>1.69</v>
      </c>
      <c r="G66" s="12">
        <v>2</v>
      </c>
      <c r="H66" s="8">
        <v>1.52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19DB7-B3A8-4837-93D5-875012A8A152}">
  <sheetPr>
    <pageSetUpPr fitToPage="1"/>
  </sheetPr>
  <dimension ref="B2:I8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310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31</v>
      </c>
      <c r="D6" s="8">
        <v>13.66</v>
      </c>
      <c r="E6" s="12">
        <v>13</v>
      </c>
      <c r="F6" s="8">
        <v>9.15</v>
      </c>
      <c r="G6" s="12">
        <v>18</v>
      </c>
      <c r="H6" s="8">
        <v>22.22</v>
      </c>
      <c r="I6" s="12">
        <v>0</v>
      </c>
    </row>
    <row r="7" spans="2:9" ht="15" customHeight="1" x14ac:dyDescent="0.2">
      <c r="B7" t="s">
        <v>63</v>
      </c>
      <c r="C7" s="12">
        <v>17</v>
      </c>
      <c r="D7" s="8">
        <v>7.49</v>
      </c>
      <c r="E7" s="12">
        <v>10</v>
      </c>
      <c r="F7" s="8">
        <v>7.04</v>
      </c>
      <c r="G7" s="12">
        <v>7</v>
      </c>
      <c r="H7" s="8">
        <v>8.64</v>
      </c>
      <c r="I7" s="12">
        <v>0</v>
      </c>
    </row>
    <row r="8" spans="2:9" ht="15" customHeight="1" x14ac:dyDescent="0.2">
      <c r="B8" t="s">
        <v>64</v>
      </c>
      <c r="C8" s="12">
        <v>1</v>
      </c>
      <c r="D8" s="8">
        <v>0.44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65</v>
      </c>
      <c r="C9" s="12">
        <v>4</v>
      </c>
      <c r="D9" s="8">
        <v>1.76</v>
      </c>
      <c r="E9" s="12">
        <v>0</v>
      </c>
      <c r="F9" s="8">
        <v>0</v>
      </c>
      <c r="G9" s="12">
        <v>4</v>
      </c>
      <c r="H9" s="8">
        <v>4.9400000000000004</v>
      </c>
      <c r="I9" s="12">
        <v>0</v>
      </c>
    </row>
    <row r="10" spans="2:9" ht="15" customHeight="1" x14ac:dyDescent="0.2">
      <c r="B10" t="s">
        <v>66</v>
      </c>
      <c r="C10" s="12">
        <v>2</v>
      </c>
      <c r="D10" s="8">
        <v>0.88</v>
      </c>
      <c r="E10" s="12">
        <v>1</v>
      </c>
      <c r="F10" s="8">
        <v>0.7</v>
      </c>
      <c r="G10" s="12">
        <v>1</v>
      </c>
      <c r="H10" s="8">
        <v>1.23</v>
      </c>
      <c r="I10" s="12">
        <v>0</v>
      </c>
    </row>
    <row r="11" spans="2:9" ht="15" customHeight="1" x14ac:dyDescent="0.2">
      <c r="B11" t="s">
        <v>67</v>
      </c>
      <c r="C11" s="12">
        <v>47</v>
      </c>
      <c r="D11" s="8">
        <v>20.7</v>
      </c>
      <c r="E11" s="12">
        <v>28</v>
      </c>
      <c r="F11" s="8">
        <v>19.72</v>
      </c>
      <c r="G11" s="12">
        <v>19</v>
      </c>
      <c r="H11" s="8">
        <v>23.46</v>
      </c>
      <c r="I11" s="12">
        <v>0</v>
      </c>
    </row>
    <row r="12" spans="2:9" ht="15" customHeight="1" x14ac:dyDescent="0.2">
      <c r="B12" t="s">
        <v>68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69</v>
      </c>
      <c r="C13" s="12">
        <v>15</v>
      </c>
      <c r="D13" s="8">
        <v>6.61</v>
      </c>
      <c r="E13" s="12">
        <v>4</v>
      </c>
      <c r="F13" s="8">
        <v>2.82</v>
      </c>
      <c r="G13" s="12">
        <v>11</v>
      </c>
      <c r="H13" s="8">
        <v>13.58</v>
      </c>
      <c r="I13" s="12">
        <v>0</v>
      </c>
    </row>
    <row r="14" spans="2:9" ht="15" customHeight="1" x14ac:dyDescent="0.2">
      <c r="B14" t="s">
        <v>70</v>
      </c>
      <c r="C14" s="12">
        <v>7</v>
      </c>
      <c r="D14" s="8">
        <v>3.08</v>
      </c>
      <c r="E14" s="12">
        <v>2</v>
      </c>
      <c r="F14" s="8">
        <v>1.41</v>
      </c>
      <c r="G14" s="12">
        <v>5</v>
      </c>
      <c r="H14" s="8">
        <v>6.17</v>
      </c>
      <c r="I14" s="12">
        <v>0</v>
      </c>
    </row>
    <row r="15" spans="2:9" ht="15" customHeight="1" x14ac:dyDescent="0.2">
      <c r="B15" t="s">
        <v>71</v>
      </c>
      <c r="C15" s="12">
        <v>50</v>
      </c>
      <c r="D15" s="8">
        <v>22.03</v>
      </c>
      <c r="E15" s="12">
        <v>39</v>
      </c>
      <c r="F15" s="8">
        <v>27.46</v>
      </c>
      <c r="G15" s="12">
        <v>11</v>
      </c>
      <c r="H15" s="8">
        <v>13.58</v>
      </c>
      <c r="I15" s="12">
        <v>0</v>
      </c>
    </row>
    <row r="16" spans="2:9" ht="15" customHeight="1" x14ac:dyDescent="0.2">
      <c r="B16" t="s">
        <v>72</v>
      </c>
      <c r="C16" s="12">
        <v>34</v>
      </c>
      <c r="D16" s="8">
        <v>14.98</v>
      </c>
      <c r="E16" s="12">
        <v>33</v>
      </c>
      <c r="F16" s="8">
        <v>23.24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73</v>
      </c>
      <c r="C17" s="12">
        <v>6</v>
      </c>
      <c r="D17" s="8">
        <v>2.64</v>
      </c>
      <c r="E17" s="12">
        <v>2</v>
      </c>
      <c r="F17" s="8">
        <v>1.41</v>
      </c>
      <c r="G17" s="12">
        <v>2</v>
      </c>
      <c r="H17" s="8">
        <v>2.4700000000000002</v>
      </c>
      <c r="I17" s="12">
        <v>0</v>
      </c>
    </row>
    <row r="18" spans="2:9" ht="15" customHeight="1" x14ac:dyDescent="0.2">
      <c r="B18" t="s">
        <v>74</v>
      </c>
      <c r="C18" s="12">
        <v>7</v>
      </c>
      <c r="D18" s="8">
        <v>3.08</v>
      </c>
      <c r="E18" s="12">
        <v>6</v>
      </c>
      <c r="F18" s="8">
        <v>4.2300000000000004</v>
      </c>
      <c r="G18" s="12">
        <v>1</v>
      </c>
      <c r="H18" s="8">
        <v>1.23</v>
      </c>
      <c r="I18" s="12">
        <v>0</v>
      </c>
    </row>
    <row r="19" spans="2:9" ht="15" customHeight="1" x14ac:dyDescent="0.2">
      <c r="B19" t="s">
        <v>75</v>
      </c>
      <c r="C19" s="12">
        <v>6</v>
      </c>
      <c r="D19" s="8">
        <v>2.64</v>
      </c>
      <c r="E19" s="12">
        <v>4</v>
      </c>
      <c r="F19" s="8">
        <v>2.82</v>
      </c>
      <c r="G19" s="12">
        <v>2</v>
      </c>
      <c r="H19" s="8">
        <v>2.4700000000000002</v>
      </c>
      <c r="I19" s="12">
        <v>0</v>
      </c>
    </row>
    <row r="20" spans="2:9" ht="15" customHeight="1" x14ac:dyDescent="0.2">
      <c r="B20" s="9" t="s">
        <v>248</v>
      </c>
      <c r="C20" s="12">
        <f>SUM(LTBL_12443[総数／事業所数])</f>
        <v>227</v>
      </c>
      <c r="E20" s="12">
        <f>SUBTOTAL(109,LTBL_12443[個人／事業所数])</f>
        <v>142</v>
      </c>
      <c r="G20" s="12">
        <f>SUBTOTAL(109,LTBL_12443[法人／事業所数])</f>
        <v>81</v>
      </c>
      <c r="I20" s="12">
        <f>SUBTOTAL(109,LTBL_12443[法人以外の団体／事業所数])</f>
        <v>0</v>
      </c>
    </row>
    <row r="21" spans="2:9" ht="15" customHeight="1" x14ac:dyDescent="0.2">
      <c r="E21" s="11">
        <f>LTBL_12443[[#Totals],[個人／事業所数]]/LTBL_12443[[#Totals],[総数／事業所数]]</f>
        <v>0.62555066079295152</v>
      </c>
      <c r="G21" s="11">
        <f>LTBL_12443[[#Totals],[法人／事業所数]]/LTBL_12443[[#Totals],[総数／事業所数]]</f>
        <v>0.35682819383259912</v>
      </c>
      <c r="I21" s="11">
        <f>LTBL_12443[[#Totals],[法人以外の団体／事業所数]]/LTBL_12443[[#Totals],[総数／事業所数]]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97</v>
      </c>
      <c r="C24" s="12">
        <v>27</v>
      </c>
      <c r="D24" s="8">
        <v>11.89</v>
      </c>
      <c r="E24" s="12">
        <v>22</v>
      </c>
      <c r="F24" s="8">
        <v>15.49</v>
      </c>
      <c r="G24" s="12">
        <v>5</v>
      </c>
      <c r="H24" s="8">
        <v>6.17</v>
      </c>
      <c r="I24" s="12">
        <v>0</v>
      </c>
    </row>
    <row r="25" spans="2:9" ht="15" customHeight="1" x14ac:dyDescent="0.2">
      <c r="B25" t="s">
        <v>98</v>
      </c>
      <c r="C25" s="12">
        <v>25</v>
      </c>
      <c r="D25" s="8">
        <v>11.01</v>
      </c>
      <c r="E25" s="12">
        <v>25</v>
      </c>
      <c r="F25" s="8">
        <v>17.61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111</v>
      </c>
      <c r="C26" s="12">
        <v>22</v>
      </c>
      <c r="D26" s="8">
        <v>9.69</v>
      </c>
      <c r="E26" s="12">
        <v>16</v>
      </c>
      <c r="F26" s="8">
        <v>11.27</v>
      </c>
      <c r="G26" s="12">
        <v>6</v>
      </c>
      <c r="H26" s="8">
        <v>7.41</v>
      </c>
      <c r="I26" s="12">
        <v>0</v>
      </c>
    </row>
    <row r="27" spans="2:9" ht="15" customHeight="1" x14ac:dyDescent="0.2">
      <c r="B27" t="s">
        <v>84</v>
      </c>
      <c r="C27" s="12">
        <v>16</v>
      </c>
      <c r="D27" s="8">
        <v>7.05</v>
      </c>
      <c r="E27" s="12">
        <v>5</v>
      </c>
      <c r="F27" s="8">
        <v>3.52</v>
      </c>
      <c r="G27" s="12">
        <v>11</v>
      </c>
      <c r="H27" s="8">
        <v>13.58</v>
      </c>
      <c r="I27" s="12">
        <v>0</v>
      </c>
    </row>
    <row r="28" spans="2:9" ht="15" customHeight="1" x14ac:dyDescent="0.2">
      <c r="B28" t="s">
        <v>92</v>
      </c>
      <c r="C28" s="12">
        <v>15</v>
      </c>
      <c r="D28" s="8">
        <v>6.61</v>
      </c>
      <c r="E28" s="12">
        <v>9</v>
      </c>
      <c r="F28" s="8">
        <v>6.34</v>
      </c>
      <c r="G28" s="12">
        <v>6</v>
      </c>
      <c r="H28" s="8">
        <v>7.41</v>
      </c>
      <c r="I28" s="12">
        <v>0</v>
      </c>
    </row>
    <row r="29" spans="2:9" ht="15" customHeight="1" x14ac:dyDescent="0.2">
      <c r="B29" t="s">
        <v>90</v>
      </c>
      <c r="C29" s="12">
        <v>14</v>
      </c>
      <c r="D29" s="8">
        <v>6.17</v>
      </c>
      <c r="E29" s="12">
        <v>11</v>
      </c>
      <c r="F29" s="8">
        <v>7.75</v>
      </c>
      <c r="G29" s="12">
        <v>3</v>
      </c>
      <c r="H29" s="8">
        <v>3.7</v>
      </c>
      <c r="I29" s="12">
        <v>0</v>
      </c>
    </row>
    <row r="30" spans="2:9" ht="15" customHeight="1" x14ac:dyDescent="0.2">
      <c r="B30" t="s">
        <v>94</v>
      </c>
      <c r="C30" s="12">
        <v>11</v>
      </c>
      <c r="D30" s="8">
        <v>4.8499999999999996</v>
      </c>
      <c r="E30" s="12">
        <v>4</v>
      </c>
      <c r="F30" s="8">
        <v>2.82</v>
      </c>
      <c r="G30" s="12">
        <v>7</v>
      </c>
      <c r="H30" s="8">
        <v>8.64</v>
      </c>
      <c r="I30" s="12">
        <v>0</v>
      </c>
    </row>
    <row r="31" spans="2:9" ht="15" customHeight="1" x14ac:dyDescent="0.2">
      <c r="B31" t="s">
        <v>85</v>
      </c>
      <c r="C31" s="12">
        <v>9</v>
      </c>
      <c r="D31" s="8">
        <v>3.96</v>
      </c>
      <c r="E31" s="12">
        <v>5</v>
      </c>
      <c r="F31" s="8">
        <v>3.52</v>
      </c>
      <c r="G31" s="12">
        <v>4</v>
      </c>
      <c r="H31" s="8">
        <v>4.9400000000000004</v>
      </c>
      <c r="I31" s="12">
        <v>0</v>
      </c>
    </row>
    <row r="32" spans="2:9" ht="15" customHeight="1" x14ac:dyDescent="0.2">
      <c r="B32" t="s">
        <v>91</v>
      </c>
      <c r="C32" s="12">
        <v>8</v>
      </c>
      <c r="D32" s="8">
        <v>3.52</v>
      </c>
      <c r="E32" s="12">
        <v>3</v>
      </c>
      <c r="F32" s="8">
        <v>2.11</v>
      </c>
      <c r="G32" s="12">
        <v>5</v>
      </c>
      <c r="H32" s="8">
        <v>6.17</v>
      </c>
      <c r="I32" s="12">
        <v>0</v>
      </c>
    </row>
    <row r="33" spans="2:9" ht="15" customHeight="1" x14ac:dyDescent="0.2">
      <c r="B33" t="s">
        <v>112</v>
      </c>
      <c r="C33" s="12">
        <v>7</v>
      </c>
      <c r="D33" s="8">
        <v>3.08</v>
      </c>
      <c r="E33" s="12">
        <v>6</v>
      </c>
      <c r="F33" s="8">
        <v>4.2300000000000004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86</v>
      </c>
      <c r="C34" s="12">
        <v>6</v>
      </c>
      <c r="D34" s="8">
        <v>2.64</v>
      </c>
      <c r="E34" s="12">
        <v>3</v>
      </c>
      <c r="F34" s="8">
        <v>2.11</v>
      </c>
      <c r="G34" s="12">
        <v>3</v>
      </c>
      <c r="H34" s="8">
        <v>3.7</v>
      </c>
      <c r="I34" s="12">
        <v>0</v>
      </c>
    </row>
    <row r="35" spans="2:9" ht="15" customHeight="1" x14ac:dyDescent="0.2">
      <c r="B35" t="s">
        <v>100</v>
      </c>
      <c r="C35" s="12">
        <v>6</v>
      </c>
      <c r="D35" s="8">
        <v>2.64</v>
      </c>
      <c r="E35" s="12">
        <v>2</v>
      </c>
      <c r="F35" s="8">
        <v>1.41</v>
      </c>
      <c r="G35" s="12">
        <v>2</v>
      </c>
      <c r="H35" s="8">
        <v>2.4700000000000002</v>
      </c>
      <c r="I35" s="12">
        <v>0</v>
      </c>
    </row>
    <row r="36" spans="2:9" ht="15" customHeight="1" x14ac:dyDescent="0.2">
      <c r="B36" t="s">
        <v>101</v>
      </c>
      <c r="C36" s="12">
        <v>6</v>
      </c>
      <c r="D36" s="8">
        <v>2.64</v>
      </c>
      <c r="E36" s="12">
        <v>6</v>
      </c>
      <c r="F36" s="8">
        <v>4.2300000000000004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95</v>
      </c>
      <c r="C37" s="12">
        <v>5</v>
      </c>
      <c r="D37" s="8">
        <v>2.2000000000000002</v>
      </c>
      <c r="E37" s="12">
        <v>2</v>
      </c>
      <c r="F37" s="8">
        <v>1.41</v>
      </c>
      <c r="G37" s="12">
        <v>3</v>
      </c>
      <c r="H37" s="8">
        <v>3.7</v>
      </c>
      <c r="I37" s="12">
        <v>0</v>
      </c>
    </row>
    <row r="38" spans="2:9" ht="15" customHeight="1" x14ac:dyDescent="0.2">
      <c r="B38" t="s">
        <v>109</v>
      </c>
      <c r="C38" s="12">
        <v>4</v>
      </c>
      <c r="D38" s="8">
        <v>1.76</v>
      </c>
      <c r="E38" s="12">
        <v>2</v>
      </c>
      <c r="F38" s="8">
        <v>1.41</v>
      </c>
      <c r="G38" s="12">
        <v>2</v>
      </c>
      <c r="H38" s="8">
        <v>2.4700000000000002</v>
      </c>
      <c r="I38" s="12">
        <v>0</v>
      </c>
    </row>
    <row r="39" spans="2:9" ht="15" customHeight="1" x14ac:dyDescent="0.2">
      <c r="B39" t="s">
        <v>93</v>
      </c>
      <c r="C39" s="12">
        <v>4</v>
      </c>
      <c r="D39" s="8">
        <v>1.76</v>
      </c>
      <c r="E39" s="12">
        <v>0</v>
      </c>
      <c r="F39" s="8">
        <v>0</v>
      </c>
      <c r="G39" s="12">
        <v>4</v>
      </c>
      <c r="H39" s="8">
        <v>4.9400000000000004</v>
      </c>
      <c r="I39" s="12">
        <v>0</v>
      </c>
    </row>
    <row r="40" spans="2:9" ht="15" customHeight="1" x14ac:dyDescent="0.2">
      <c r="B40" t="s">
        <v>103</v>
      </c>
      <c r="C40" s="12">
        <v>4</v>
      </c>
      <c r="D40" s="8">
        <v>1.76</v>
      </c>
      <c r="E40" s="12">
        <v>3</v>
      </c>
      <c r="F40" s="8">
        <v>2.11</v>
      </c>
      <c r="G40" s="12">
        <v>1</v>
      </c>
      <c r="H40" s="8">
        <v>1.23</v>
      </c>
      <c r="I40" s="12">
        <v>0</v>
      </c>
    </row>
    <row r="41" spans="2:9" ht="15" customHeight="1" x14ac:dyDescent="0.2">
      <c r="B41" t="s">
        <v>132</v>
      </c>
      <c r="C41" s="12">
        <v>2</v>
      </c>
      <c r="D41" s="8">
        <v>0.88</v>
      </c>
      <c r="E41" s="12">
        <v>1</v>
      </c>
      <c r="F41" s="8">
        <v>0.7</v>
      </c>
      <c r="G41" s="12">
        <v>1</v>
      </c>
      <c r="H41" s="8">
        <v>1.23</v>
      </c>
      <c r="I41" s="12">
        <v>0</v>
      </c>
    </row>
    <row r="42" spans="2:9" ht="15" customHeight="1" x14ac:dyDescent="0.2">
      <c r="B42" t="s">
        <v>124</v>
      </c>
      <c r="C42" s="12">
        <v>2</v>
      </c>
      <c r="D42" s="8">
        <v>0.88</v>
      </c>
      <c r="E42" s="12">
        <v>1</v>
      </c>
      <c r="F42" s="8">
        <v>0.7</v>
      </c>
      <c r="G42" s="12">
        <v>1</v>
      </c>
      <c r="H42" s="8">
        <v>1.23</v>
      </c>
      <c r="I42" s="12">
        <v>0</v>
      </c>
    </row>
    <row r="43" spans="2:9" ht="15" customHeight="1" x14ac:dyDescent="0.2">
      <c r="B43" t="s">
        <v>117</v>
      </c>
      <c r="C43" s="12">
        <v>2</v>
      </c>
      <c r="D43" s="8">
        <v>0.88</v>
      </c>
      <c r="E43" s="12">
        <v>2</v>
      </c>
      <c r="F43" s="8">
        <v>1.41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129</v>
      </c>
      <c r="C44" s="12">
        <v>2</v>
      </c>
      <c r="D44" s="8">
        <v>0.88</v>
      </c>
      <c r="E44" s="12">
        <v>1</v>
      </c>
      <c r="F44" s="8">
        <v>0.7</v>
      </c>
      <c r="G44" s="12">
        <v>1</v>
      </c>
      <c r="H44" s="8">
        <v>1.23</v>
      </c>
      <c r="I44" s="12">
        <v>0</v>
      </c>
    </row>
    <row r="45" spans="2:9" ht="15" customHeight="1" x14ac:dyDescent="0.2">
      <c r="B45" t="s">
        <v>119</v>
      </c>
      <c r="C45" s="12">
        <v>2</v>
      </c>
      <c r="D45" s="8">
        <v>0.88</v>
      </c>
      <c r="E45" s="12">
        <v>1</v>
      </c>
      <c r="F45" s="8">
        <v>0.7</v>
      </c>
      <c r="G45" s="12">
        <v>1</v>
      </c>
      <c r="H45" s="8">
        <v>1.23</v>
      </c>
      <c r="I45" s="12">
        <v>0</v>
      </c>
    </row>
    <row r="46" spans="2:9" ht="15" customHeight="1" x14ac:dyDescent="0.2">
      <c r="B46" t="s">
        <v>108</v>
      </c>
      <c r="C46" s="12">
        <v>2</v>
      </c>
      <c r="D46" s="8">
        <v>0.88</v>
      </c>
      <c r="E46" s="12">
        <v>0</v>
      </c>
      <c r="F46" s="8">
        <v>0</v>
      </c>
      <c r="G46" s="12">
        <v>2</v>
      </c>
      <c r="H46" s="8">
        <v>2.4700000000000002</v>
      </c>
      <c r="I46" s="12">
        <v>0</v>
      </c>
    </row>
    <row r="47" spans="2:9" ht="15" customHeight="1" x14ac:dyDescent="0.2">
      <c r="B47" t="s">
        <v>143</v>
      </c>
      <c r="C47" s="12">
        <v>2</v>
      </c>
      <c r="D47" s="8">
        <v>0.88</v>
      </c>
      <c r="E47" s="12">
        <v>1</v>
      </c>
      <c r="F47" s="8">
        <v>0.7</v>
      </c>
      <c r="G47" s="12">
        <v>1</v>
      </c>
      <c r="H47" s="8">
        <v>1.23</v>
      </c>
      <c r="I47" s="12">
        <v>0</v>
      </c>
    </row>
    <row r="48" spans="2:9" ht="15" customHeight="1" x14ac:dyDescent="0.2">
      <c r="B48" t="s">
        <v>87</v>
      </c>
      <c r="C48" s="12">
        <v>2</v>
      </c>
      <c r="D48" s="8">
        <v>0.88</v>
      </c>
      <c r="E48" s="12">
        <v>0</v>
      </c>
      <c r="F48" s="8">
        <v>0</v>
      </c>
      <c r="G48" s="12">
        <v>2</v>
      </c>
      <c r="H48" s="8">
        <v>2.4700000000000002</v>
      </c>
      <c r="I48" s="12">
        <v>0</v>
      </c>
    </row>
    <row r="49" spans="2:9" ht="15" customHeight="1" x14ac:dyDescent="0.2">
      <c r="B49" t="s">
        <v>89</v>
      </c>
      <c r="C49" s="12">
        <v>2</v>
      </c>
      <c r="D49" s="8">
        <v>0.88</v>
      </c>
      <c r="E49" s="12">
        <v>2</v>
      </c>
      <c r="F49" s="8">
        <v>1.41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96</v>
      </c>
      <c r="C50" s="12">
        <v>2</v>
      </c>
      <c r="D50" s="8">
        <v>0.88</v>
      </c>
      <c r="E50" s="12">
        <v>0</v>
      </c>
      <c r="F50" s="8">
        <v>0</v>
      </c>
      <c r="G50" s="12">
        <v>2</v>
      </c>
      <c r="H50" s="8">
        <v>2.4700000000000002</v>
      </c>
      <c r="I50" s="12">
        <v>0</v>
      </c>
    </row>
    <row r="51" spans="2:9" ht="15" customHeight="1" x14ac:dyDescent="0.2">
      <c r="B51" t="s">
        <v>99</v>
      </c>
      <c r="C51" s="12">
        <v>2</v>
      </c>
      <c r="D51" s="8">
        <v>0.88</v>
      </c>
      <c r="E51" s="12">
        <v>2</v>
      </c>
      <c r="F51" s="8">
        <v>1.41</v>
      </c>
      <c r="G51" s="12">
        <v>0</v>
      </c>
      <c r="H51" s="8">
        <v>0</v>
      </c>
      <c r="I51" s="12">
        <v>0</v>
      </c>
    </row>
    <row r="54" spans="2:9" ht="33" customHeight="1" x14ac:dyDescent="0.2">
      <c r="B54" t="s">
        <v>250</v>
      </c>
      <c r="C54" s="10" t="s">
        <v>77</v>
      </c>
      <c r="D54" s="10" t="s">
        <v>78</v>
      </c>
      <c r="E54" s="10" t="s">
        <v>79</v>
      </c>
      <c r="F54" s="10" t="s">
        <v>80</v>
      </c>
      <c r="G54" s="10" t="s">
        <v>81</v>
      </c>
      <c r="H54" s="10" t="s">
        <v>82</v>
      </c>
      <c r="I54" s="10" t="s">
        <v>83</v>
      </c>
    </row>
    <row r="55" spans="2:9" ht="15" customHeight="1" x14ac:dyDescent="0.2">
      <c r="B55" t="s">
        <v>194</v>
      </c>
      <c r="C55" s="12">
        <v>19</v>
      </c>
      <c r="D55" s="8">
        <v>8.3699999999999992</v>
      </c>
      <c r="E55" s="12">
        <v>16</v>
      </c>
      <c r="F55" s="8">
        <v>11.27</v>
      </c>
      <c r="G55" s="12">
        <v>3</v>
      </c>
      <c r="H55" s="8">
        <v>3.7</v>
      </c>
      <c r="I55" s="12">
        <v>0</v>
      </c>
    </row>
    <row r="56" spans="2:9" ht="15" customHeight="1" x14ac:dyDescent="0.2">
      <c r="B56" t="s">
        <v>161</v>
      </c>
      <c r="C56" s="12">
        <v>12</v>
      </c>
      <c r="D56" s="8">
        <v>5.29</v>
      </c>
      <c r="E56" s="12">
        <v>10</v>
      </c>
      <c r="F56" s="8">
        <v>7.04</v>
      </c>
      <c r="G56" s="12">
        <v>2</v>
      </c>
      <c r="H56" s="8">
        <v>2.4700000000000002</v>
      </c>
      <c r="I56" s="12">
        <v>0</v>
      </c>
    </row>
    <row r="57" spans="2:9" ht="15" customHeight="1" x14ac:dyDescent="0.2">
      <c r="B57" t="s">
        <v>164</v>
      </c>
      <c r="C57" s="12">
        <v>11</v>
      </c>
      <c r="D57" s="8">
        <v>4.8499999999999996</v>
      </c>
      <c r="E57" s="12">
        <v>11</v>
      </c>
      <c r="F57" s="8">
        <v>7.75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163</v>
      </c>
      <c r="C58" s="12">
        <v>10</v>
      </c>
      <c r="D58" s="8">
        <v>4.41</v>
      </c>
      <c r="E58" s="12">
        <v>10</v>
      </c>
      <c r="F58" s="8">
        <v>7.04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158</v>
      </c>
      <c r="C59" s="12">
        <v>6</v>
      </c>
      <c r="D59" s="8">
        <v>2.64</v>
      </c>
      <c r="E59" s="12">
        <v>3</v>
      </c>
      <c r="F59" s="8">
        <v>2.11</v>
      </c>
      <c r="G59" s="12">
        <v>3</v>
      </c>
      <c r="H59" s="8">
        <v>3.7</v>
      </c>
      <c r="I59" s="12">
        <v>0</v>
      </c>
    </row>
    <row r="60" spans="2:9" ht="15" customHeight="1" x14ac:dyDescent="0.2">
      <c r="B60" t="s">
        <v>200</v>
      </c>
      <c r="C60" s="12">
        <v>6</v>
      </c>
      <c r="D60" s="8">
        <v>2.64</v>
      </c>
      <c r="E60" s="12">
        <v>6</v>
      </c>
      <c r="F60" s="8">
        <v>4.2300000000000004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150</v>
      </c>
      <c r="C61" s="12">
        <v>5</v>
      </c>
      <c r="D61" s="8">
        <v>2.2000000000000002</v>
      </c>
      <c r="E61" s="12">
        <v>3</v>
      </c>
      <c r="F61" s="8">
        <v>2.11</v>
      </c>
      <c r="G61" s="12">
        <v>2</v>
      </c>
      <c r="H61" s="8">
        <v>2.4700000000000002</v>
      </c>
      <c r="I61" s="12">
        <v>0</v>
      </c>
    </row>
    <row r="62" spans="2:9" ht="15" customHeight="1" x14ac:dyDescent="0.2">
      <c r="B62" t="s">
        <v>202</v>
      </c>
      <c r="C62" s="12">
        <v>5</v>
      </c>
      <c r="D62" s="8">
        <v>2.2000000000000002</v>
      </c>
      <c r="E62" s="12">
        <v>5</v>
      </c>
      <c r="F62" s="8">
        <v>3.52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148</v>
      </c>
      <c r="C63" s="12">
        <v>4</v>
      </c>
      <c r="D63" s="8">
        <v>1.76</v>
      </c>
      <c r="E63" s="12">
        <v>1</v>
      </c>
      <c r="F63" s="8">
        <v>0.7</v>
      </c>
      <c r="G63" s="12">
        <v>3</v>
      </c>
      <c r="H63" s="8">
        <v>3.7</v>
      </c>
      <c r="I63" s="12">
        <v>0</v>
      </c>
    </row>
    <row r="64" spans="2:9" ht="15" customHeight="1" x14ac:dyDescent="0.2">
      <c r="B64" t="s">
        <v>183</v>
      </c>
      <c r="C64" s="12">
        <v>4</v>
      </c>
      <c r="D64" s="8">
        <v>1.76</v>
      </c>
      <c r="E64" s="12">
        <v>2</v>
      </c>
      <c r="F64" s="8">
        <v>1.41</v>
      </c>
      <c r="G64" s="12">
        <v>2</v>
      </c>
      <c r="H64" s="8">
        <v>2.4700000000000002</v>
      </c>
      <c r="I64" s="12">
        <v>0</v>
      </c>
    </row>
    <row r="65" spans="2:9" ht="15" customHeight="1" x14ac:dyDescent="0.2">
      <c r="B65" t="s">
        <v>198</v>
      </c>
      <c r="C65" s="12">
        <v>4</v>
      </c>
      <c r="D65" s="8">
        <v>1.76</v>
      </c>
      <c r="E65" s="12">
        <v>4</v>
      </c>
      <c r="F65" s="8">
        <v>2.82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155</v>
      </c>
      <c r="C66" s="12">
        <v>4</v>
      </c>
      <c r="D66" s="8">
        <v>1.76</v>
      </c>
      <c r="E66" s="12">
        <v>1</v>
      </c>
      <c r="F66" s="8">
        <v>0.7</v>
      </c>
      <c r="G66" s="12">
        <v>3</v>
      </c>
      <c r="H66" s="8">
        <v>3.7</v>
      </c>
      <c r="I66" s="12">
        <v>0</v>
      </c>
    </row>
    <row r="67" spans="2:9" ht="15" customHeight="1" x14ac:dyDescent="0.2">
      <c r="B67" t="s">
        <v>204</v>
      </c>
      <c r="C67" s="12">
        <v>4</v>
      </c>
      <c r="D67" s="8">
        <v>1.76</v>
      </c>
      <c r="E67" s="12">
        <v>2</v>
      </c>
      <c r="F67" s="8">
        <v>1.41</v>
      </c>
      <c r="G67" s="12">
        <v>2</v>
      </c>
      <c r="H67" s="8">
        <v>2.4700000000000002</v>
      </c>
      <c r="I67" s="12">
        <v>0</v>
      </c>
    </row>
    <row r="68" spans="2:9" ht="15" customHeight="1" x14ac:dyDescent="0.2">
      <c r="B68" t="s">
        <v>195</v>
      </c>
      <c r="C68" s="12">
        <v>4</v>
      </c>
      <c r="D68" s="8">
        <v>1.76</v>
      </c>
      <c r="E68" s="12">
        <v>3</v>
      </c>
      <c r="F68" s="8">
        <v>2.11</v>
      </c>
      <c r="G68" s="12">
        <v>1</v>
      </c>
      <c r="H68" s="8">
        <v>1.23</v>
      </c>
      <c r="I68" s="12">
        <v>0</v>
      </c>
    </row>
    <row r="69" spans="2:9" ht="15" customHeight="1" x14ac:dyDescent="0.2">
      <c r="B69" t="s">
        <v>167</v>
      </c>
      <c r="C69" s="12">
        <v>4</v>
      </c>
      <c r="D69" s="8">
        <v>1.76</v>
      </c>
      <c r="E69" s="12">
        <v>3</v>
      </c>
      <c r="F69" s="8">
        <v>2.11</v>
      </c>
      <c r="G69" s="12">
        <v>1</v>
      </c>
      <c r="H69" s="8">
        <v>1.23</v>
      </c>
      <c r="I69" s="12">
        <v>0</v>
      </c>
    </row>
    <row r="70" spans="2:9" ht="15" customHeight="1" x14ac:dyDescent="0.2">
      <c r="B70" t="s">
        <v>149</v>
      </c>
      <c r="C70" s="12">
        <v>3</v>
      </c>
      <c r="D70" s="8">
        <v>1.32</v>
      </c>
      <c r="E70" s="12">
        <v>0</v>
      </c>
      <c r="F70" s="8">
        <v>0</v>
      </c>
      <c r="G70" s="12">
        <v>3</v>
      </c>
      <c r="H70" s="8">
        <v>3.7</v>
      </c>
      <c r="I70" s="12">
        <v>0</v>
      </c>
    </row>
    <row r="71" spans="2:9" ht="15" customHeight="1" x14ac:dyDescent="0.2">
      <c r="B71" t="s">
        <v>151</v>
      </c>
      <c r="C71" s="12">
        <v>3</v>
      </c>
      <c r="D71" s="8">
        <v>1.32</v>
      </c>
      <c r="E71" s="12">
        <v>1</v>
      </c>
      <c r="F71" s="8">
        <v>0.7</v>
      </c>
      <c r="G71" s="12">
        <v>2</v>
      </c>
      <c r="H71" s="8">
        <v>2.4700000000000002</v>
      </c>
      <c r="I71" s="12">
        <v>0</v>
      </c>
    </row>
    <row r="72" spans="2:9" ht="15" customHeight="1" x14ac:dyDescent="0.2">
      <c r="B72" t="s">
        <v>152</v>
      </c>
      <c r="C72" s="12">
        <v>3</v>
      </c>
      <c r="D72" s="8">
        <v>1.32</v>
      </c>
      <c r="E72" s="12">
        <v>3</v>
      </c>
      <c r="F72" s="8">
        <v>2.11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153</v>
      </c>
      <c r="C73" s="12">
        <v>3</v>
      </c>
      <c r="D73" s="8">
        <v>1.32</v>
      </c>
      <c r="E73" s="12">
        <v>0</v>
      </c>
      <c r="F73" s="8">
        <v>0</v>
      </c>
      <c r="G73" s="12">
        <v>3</v>
      </c>
      <c r="H73" s="8">
        <v>3.7</v>
      </c>
      <c r="I73" s="12">
        <v>0</v>
      </c>
    </row>
    <row r="74" spans="2:9" ht="15" customHeight="1" x14ac:dyDescent="0.2">
      <c r="B74" t="s">
        <v>189</v>
      </c>
      <c r="C74" s="12">
        <v>3</v>
      </c>
      <c r="D74" s="8">
        <v>1.32</v>
      </c>
      <c r="E74" s="12">
        <v>2</v>
      </c>
      <c r="F74" s="8">
        <v>1.41</v>
      </c>
      <c r="G74" s="12">
        <v>1</v>
      </c>
      <c r="H74" s="8">
        <v>1.23</v>
      </c>
      <c r="I74" s="12">
        <v>0</v>
      </c>
    </row>
    <row r="75" spans="2:9" ht="15" customHeight="1" x14ac:dyDescent="0.2">
      <c r="B75" t="s">
        <v>154</v>
      </c>
      <c r="C75" s="12">
        <v>3</v>
      </c>
      <c r="D75" s="8">
        <v>1.32</v>
      </c>
      <c r="E75" s="12">
        <v>2</v>
      </c>
      <c r="F75" s="8">
        <v>1.41</v>
      </c>
      <c r="G75" s="12">
        <v>1</v>
      </c>
      <c r="H75" s="8">
        <v>1.23</v>
      </c>
      <c r="I75" s="12">
        <v>0</v>
      </c>
    </row>
    <row r="76" spans="2:9" ht="15" customHeight="1" x14ac:dyDescent="0.2">
      <c r="B76" t="s">
        <v>191</v>
      </c>
      <c r="C76" s="12">
        <v>3</v>
      </c>
      <c r="D76" s="8">
        <v>1.32</v>
      </c>
      <c r="E76" s="12">
        <v>0</v>
      </c>
      <c r="F76" s="8">
        <v>0</v>
      </c>
      <c r="G76" s="12">
        <v>3</v>
      </c>
      <c r="H76" s="8">
        <v>3.7</v>
      </c>
      <c r="I76" s="12">
        <v>0</v>
      </c>
    </row>
    <row r="77" spans="2:9" ht="15" customHeight="1" x14ac:dyDescent="0.2">
      <c r="B77" t="s">
        <v>159</v>
      </c>
      <c r="C77" s="12">
        <v>3</v>
      </c>
      <c r="D77" s="8">
        <v>1.32</v>
      </c>
      <c r="E77" s="12">
        <v>0</v>
      </c>
      <c r="F77" s="8">
        <v>0</v>
      </c>
      <c r="G77" s="12">
        <v>3</v>
      </c>
      <c r="H77" s="8">
        <v>3.7</v>
      </c>
      <c r="I77" s="12">
        <v>0</v>
      </c>
    </row>
    <row r="78" spans="2:9" ht="15" customHeight="1" x14ac:dyDescent="0.2">
      <c r="B78" t="s">
        <v>242</v>
      </c>
      <c r="C78" s="12">
        <v>3</v>
      </c>
      <c r="D78" s="8">
        <v>1.32</v>
      </c>
      <c r="E78" s="12">
        <v>0</v>
      </c>
      <c r="F78" s="8">
        <v>0</v>
      </c>
      <c r="G78" s="12">
        <v>3</v>
      </c>
      <c r="H78" s="8">
        <v>3.7</v>
      </c>
      <c r="I78" s="12">
        <v>0</v>
      </c>
    </row>
    <row r="79" spans="2:9" ht="15" customHeight="1" x14ac:dyDescent="0.2">
      <c r="B79" t="s">
        <v>192</v>
      </c>
      <c r="C79" s="12">
        <v>3</v>
      </c>
      <c r="D79" s="8">
        <v>1.32</v>
      </c>
      <c r="E79" s="12">
        <v>2</v>
      </c>
      <c r="F79" s="8">
        <v>1.41</v>
      </c>
      <c r="G79" s="12">
        <v>1</v>
      </c>
      <c r="H79" s="8">
        <v>1.23</v>
      </c>
      <c r="I79" s="12">
        <v>0</v>
      </c>
    </row>
    <row r="80" spans="2:9" ht="15" customHeight="1" x14ac:dyDescent="0.2">
      <c r="B80" t="s">
        <v>243</v>
      </c>
      <c r="C80" s="12">
        <v>3</v>
      </c>
      <c r="D80" s="8">
        <v>1.32</v>
      </c>
      <c r="E80" s="12">
        <v>3</v>
      </c>
      <c r="F80" s="8">
        <v>2.11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169</v>
      </c>
      <c r="C81" s="12">
        <v>3</v>
      </c>
      <c r="D81" s="8">
        <v>1.32</v>
      </c>
      <c r="E81" s="12">
        <v>3</v>
      </c>
      <c r="F81" s="8">
        <v>2.11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165</v>
      </c>
      <c r="C82" s="12">
        <v>3</v>
      </c>
      <c r="D82" s="8">
        <v>1.32</v>
      </c>
      <c r="E82" s="12">
        <v>2</v>
      </c>
      <c r="F82" s="8">
        <v>1.41</v>
      </c>
      <c r="G82" s="12">
        <v>1</v>
      </c>
      <c r="H82" s="8">
        <v>1.23</v>
      </c>
      <c r="I82" s="12">
        <v>0</v>
      </c>
    </row>
    <row r="83" spans="2:9" ht="15" customHeight="1" x14ac:dyDescent="0.2">
      <c r="B83" t="s">
        <v>170</v>
      </c>
      <c r="C83" s="12">
        <v>3</v>
      </c>
      <c r="D83" s="8">
        <v>1.32</v>
      </c>
      <c r="E83" s="12">
        <v>3</v>
      </c>
      <c r="F83" s="8">
        <v>2.11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166</v>
      </c>
      <c r="C84" s="12">
        <v>3</v>
      </c>
      <c r="D84" s="8">
        <v>1.32</v>
      </c>
      <c r="E84" s="12">
        <v>3</v>
      </c>
      <c r="F84" s="8">
        <v>2.11</v>
      </c>
      <c r="G84" s="12">
        <v>0</v>
      </c>
      <c r="H84" s="8">
        <v>0</v>
      </c>
      <c r="I84" s="12">
        <v>0</v>
      </c>
    </row>
    <row r="86" spans="2:9" ht="15" customHeight="1" x14ac:dyDescent="0.2">
      <c r="B86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033B-CE82-4A11-9BF7-CD2CD4AA0FDF}">
  <sheetPr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311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2</v>
      </c>
      <c r="D5" s="8">
        <v>0.84</v>
      </c>
      <c r="E5" s="12">
        <v>0</v>
      </c>
      <c r="F5" s="8">
        <v>0</v>
      </c>
      <c r="G5" s="12">
        <v>2</v>
      </c>
      <c r="H5" s="8">
        <v>2.41</v>
      </c>
      <c r="I5" s="12">
        <v>0</v>
      </c>
    </row>
    <row r="6" spans="2:9" ht="15" customHeight="1" x14ac:dyDescent="0.2">
      <c r="B6" t="s">
        <v>62</v>
      </c>
      <c r="C6" s="12">
        <v>40</v>
      </c>
      <c r="D6" s="8">
        <v>16.809999999999999</v>
      </c>
      <c r="E6" s="12">
        <v>23</v>
      </c>
      <c r="F6" s="8">
        <v>15.44</v>
      </c>
      <c r="G6" s="12">
        <v>17</v>
      </c>
      <c r="H6" s="8">
        <v>20.48</v>
      </c>
      <c r="I6" s="12">
        <v>0</v>
      </c>
    </row>
    <row r="7" spans="2:9" ht="15" customHeight="1" x14ac:dyDescent="0.2">
      <c r="B7" t="s">
        <v>63</v>
      </c>
      <c r="C7" s="12">
        <v>11</v>
      </c>
      <c r="D7" s="8">
        <v>4.62</v>
      </c>
      <c r="E7" s="12">
        <v>4</v>
      </c>
      <c r="F7" s="8">
        <v>2.68</v>
      </c>
      <c r="G7" s="12">
        <v>7</v>
      </c>
      <c r="H7" s="8">
        <v>8.43</v>
      </c>
      <c r="I7" s="12">
        <v>0</v>
      </c>
    </row>
    <row r="8" spans="2:9" ht="15" customHeight="1" x14ac:dyDescent="0.2">
      <c r="B8" t="s">
        <v>64</v>
      </c>
      <c r="C8" s="12">
        <v>1</v>
      </c>
      <c r="D8" s="8">
        <v>0.42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66</v>
      </c>
      <c r="C10" s="12">
        <v>4</v>
      </c>
      <c r="D10" s="8">
        <v>1.68</v>
      </c>
      <c r="E10" s="12">
        <v>0</v>
      </c>
      <c r="F10" s="8">
        <v>0</v>
      </c>
      <c r="G10" s="12">
        <v>2</v>
      </c>
      <c r="H10" s="8">
        <v>2.41</v>
      </c>
      <c r="I10" s="12">
        <v>2</v>
      </c>
    </row>
    <row r="11" spans="2:9" ht="15" customHeight="1" x14ac:dyDescent="0.2">
      <c r="B11" t="s">
        <v>67</v>
      </c>
      <c r="C11" s="12">
        <v>66</v>
      </c>
      <c r="D11" s="8">
        <v>27.73</v>
      </c>
      <c r="E11" s="12">
        <v>39</v>
      </c>
      <c r="F11" s="8">
        <v>26.17</v>
      </c>
      <c r="G11" s="12">
        <v>27</v>
      </c>
      <c r="H11" s="8">
        <v>32.53</v>
      </c>
      <c r="I11" s="12">
        <v>0</v>
      </c>
    </row>
    <row r="12" spans="2:9" ht="15" customHeight="1" x14ac:dyDescent="0.2">
      <c r="B12" t="s">
        <v>68</v>
      </c>
      <c r="C12" s="12">
        <v>1</v>
      </c>
      <c r="D12" s="8">
        <v>0.42</v>
      </c>
      <c r="E12" s="12">
        <v>0</v>
      </c>
      <c r="F12" s="8">
        <v>0</v>
      </c>
      <c r="G12" s="12">
        <v>1</v>
      </c>
      <c r="H12" s="8">
        <v>1.2</v>
      </c>
      <c r="I12" s="12">
        <v>0</v>
      </c>
    </row>
    <row r="13" spans="2:9" ht="15" customHeight="1" x14ac:dyDescent="0.2">
      <c r="B13" t="s">
        <v>69</v>
      </c>
      <c r="C13" s="12">
        <v>3</v>
      </c>
      <c r="D13" s="8">
        <v>1.26</v>
      </c>
      <c r="E13" s="12">
        <v>0</v>
      </c>
      <c r="F13" s="8">
        <v>0</v>
      </c>
      <c r="G13" s="12">
        <v>3</v>
      </c>
      <c r="H13" s="8">
        <v>3.61</v>
      </c>
      <c r="I13" s="12">
        <v>0</v>
      </c>
    </row>
    <row r="14" spans="2:9" ht="15" customHeight="1" x14ac:dyDescent="0.2">
      <c r="B14" t="s">
        <v>70</v>
      </c>
      <c r="C14" s="12">
        <v>4</v>
      </c>
      <c r="D14" s="8">
        <v>1.68</v>
      </c>
      <c r="E14" s="12">
        <v>3</v>
      </c>
      <c r="F14" s="8">
        <v>2.0099999999999998</v>
      </c>
      <c r="G14" s="12">
        <v>1</v>
      </c>
      <c r="H14" s="8">
        <v>1.2</v>
      </c>
      <c r="I14" s="12">
        <v>0</v>
      </c>
    </row>
    <row r="15" spans="2:9" ht="15" customHeight="1" x14ac:dyDescent="0.2">
      <c r="B15" t="s">
        <v>71</v>
      </c>
      <c r="C15" s="12">
        <v>49</v>
      </c>
      <c r="D15" s="8">
        <v>20.59</v>
      </c>
      <c r="E15" s="12">
        <v>42</v>
      </c>
      <c r="F15" s="8">
        <v>28.19</v>
      </c>
      <c r="G15" s="12">
        <v>6</v>
      </c>
      <c r="H15" s="8">
        <v>7.23</v>
      </c>
      <c r="I15" s="12">
        <v>0</v>
      </c>
    </row>
    <row r="16" spans="2:9" ht="15" customHeight="1" x14ac:dyDescent="0.2">
      <c r="B16" t="s">
        <v>72</v>
      </c>
      <c r="C16" s="12">
        <v>30</v>
      </c>
      <c r="D16" s="8">
        <v>12.61</v>
      </c>
      <c r="E16" s="12">
        <v>26</v>
      </c>
      <c r="F16" s="8">
        <v>17.45</v>
      </c>
      <c r="G16" s="12">
        <v>4</v>
      </c>
      <c r="H16" s="8">
        <v>4.82</v>
      </c>
      <c r="I16" s="12">
        <v>0</v>
      </c>
    </row>
    <row r="17" spans="2:9" ht="15" customHeight="1" x14ac:dyDescent="0.2">
      <c r="B17" t="s">
        <v>73</v>
      </c>
      <c r="C17" s="12">
        <v>6</v>
      </c>
      <c r="D17" s="8">
        <v>2.52</v>
      </c>
      <c r="E17" s="12">
        <v>4</v>
      </c>
      <c r="F17" s="8">
        <v>2.68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74</v>
      </c>
      <c r="C18" s="12">
        <v>9</v>
      </c>
      <c r="D18" s="8">
        <v>3.78</v>
      </c>
      <c r="E18" s="12">
        <v>4</v>
      </c>
      <c r="F18" s="8">
        <v>2.68</v>
      </c>
      <c r="G18" s="12">
        <v>5</v>
      </c>
      <c r="H18" s="8">
        <v>6.02</v>
      </c>
      <c r="I18" s="12">
        <v>0</v>
      </c>
    </row>
    <row r="19" spans="2:9" ht="15" customHeight="1" x14ac:dyDescent="0.2">
      <c r="B19" t="s">
        <v>75</v>
      </c>
      <c r="C19" s="12">
        <v>12</v>
      </c>
      <c r="D19" s="8">
        <v>5.04</v>
      </c>
      <c r="E19" s="12">
        <v>4</v>
      </c>
      <c r="F19" s="8">
        <v>2.68</v>
      </c>
      <c r="G19" s="12">
        <v>8</v>
      </c>
      <c r="H19" s="8">
        <v>9.64</v>
      </c>
      <c r="I19" s="12">
        <v>0</v>
      </c>
    </row>
    <row r="20" spans="2:9" ht="15" customHeight="1" x14ac:dyDescent="0.2">
      <c r="B20" s="9" t="s">
        <v>248</v>
      </c>
      <c r="C20" s="12">
        <f>SUM(LTBL_12463[総数／事業所数])</f>
        <v>238</v>
      </c>
      <c r="E20" s="12">
        <f>SUBTOTAL(109,LTBL_12463[個人／事業所数])</f>
        <v>149</v>
      </c>
      <c r="G20" s="12">
        <f>SUBTOTAL(109,LTBL_12463[法人／事業所数])</f>
        <v>83</v>
      </c>
      <c r="I20" s="12">
        <f>SUBTOTAL(109,LTBL_12463[法人以外の団体／事業所数])</f>
        <v>2</v>
      </c>
    </row>
    <row r="21" spans="2:9" ht="15" customHeight="1" x14ac:dyDescent="0.2">
      <c r="E21" s="11">
        <f>LTBL_12463[[#Totals],[個人／事業所数]]/LTBL_12463[[#Totals],[総数／事業所数]]</f>
        <v>0.62605042016806722</v>
      </c>
      <c r="G21" s="11">
        <f>LTBL_12463[[#Totals],[法人／事業所数]]/LTBL_12463[[#Totals],[総数／事業所数]]</f>
        <v>0.34873949579831931</v>
      </c>
      <c r="I21" s="11">
        <f>LTBL_12463[[#Totals],[法人以外の団体／事業所数]]/LTBL_12463[[#Totals],[総数／事業所数]]</f>
        <v>8.4033613445378148E-3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97</v>
      </c>
      <c r="C24" s="12">
        <v>41</v>
      </c>
      <c r="D24" s="8">
        <v>17.23</v>
      </c>
      <c r="E24" s="12">
        <v>36</v>
      </c>
      <c r="F24" s="8">
        <v>24.16</v>
      </c>
      <c r="G24" s="12">
        <v>5</v>
      </c>
      <c r="H24" s="8">
        <v>6.02</v>
      </c>
      <c r="I24" s="12">
        <v>0</v>
      </c>
    </row>
    <row r="25" spans="2:9" ht="15" customHeight="1" x14ac:dyDescent="0.2">
      <c r="B25" t="s">
        <v>90</v>
      </c>
      <c r="C25" s="12">
        <v>29</v>
      </c>
      <c r="D25" s="8">
        <v>12.18</v>
      </c>
      <c r="E25" s="12">
        <v>22</v>
      </c>
      <c r="F25" s="8">
        <v>14.77</v>
      </c>
      <c r="G25" s="12">
        <v>7</v>
      </c>
      <c r="H25" s="8">
        <v>8.43</v>
      </c>
      <c r="I25" s="12">
        <v>0</v>
      </c>
    </row>
    <row r="26" spans="2:9" ht="15" customHeight="1" x14ac:dyDescent="0.2">
      <c r="B26" t="s">
        <v>98</v>
      </c>
      <c r="C26" s="12">
        <v>24</v>
      </c>
      <c r="D26" s="8">
        <v>10.08</v>
      </c>
      <c r="E26" s="12">
        <v>22</v>
      </c>
      <c r="F26" s="8">
        <v>14.77</v>
      </c>
      <c r="G26" s="12">
        <v>2</v>
      </c>
      <c r="H26" s="8">
        <v>2.41</v>
      </c>
      <c r="I26" s="12">
        <v>0</v>
      </c>
    </row>
    <row r="27" spans="2:9" ht="15" customHeight="1" x14ac:dyDescent="0.2">
      <c r="B27" t="s">
        <v>84</v>
      </c>
      <c r="C27" s="12">
        <v>17</v>
      </c>
      <c r="D27" s="8">
        <v>7.14</v>
      </c>
      <c r="E27" s="12">
        <v>7</v>
      </c>
      <c r="F27" s="8">
        <v>4.7</v>
      </c>
      <c r="G27" s="12">
        <v>10</v>
      </c>
      <c r="H27" s="8">
        <v>12.05</v>
      </c>
      <c r="I27" s="12">
        <v>0</v>
      </c>
    </row>
    <row r="28" spans="2:9" ht="15" customHeight="1" x14ac:dyDescent="0.2">
      <c r="B28" t="s">
        <v>85</v>
      </c>
      <c r="C28" s="12">
        <v>17</v>
      </c>
      <c r="D28" s="8">
        <v>7.14</v>
      </c>
      <c r="E28" s="12">
        <v>12</v>
      </c>
      <c r="F28" s="8">
        <v>8.0500000000000007</v>
      </c>
      <c r="G28" s="12">
        <v>5</v>
      </c>
      <c r="H28" s="8">
        <v>6.02</v>
      </c>
      <c r="I28" s="12">
        <v>0</v>
      </c>
    </row>
    <row r="29" spans="2:9" ht="15" customHeight="1" x14ac:dyDescent="0.2">
      <c r="B29" t="s">
        <v>92</v>
      </c>
      <c r="C29" s="12">
        <v>13</v>
      </c>
      <c r="D29" s="8">
        <v>5.46</v>
      </c>
      <c r="E29" s="12">
        <v>10</v>
      </c>
      <c r="F29" s="8">
        <v>6.71</v>
      </c>
      <c r="G29" s="12">
        <v>3</v>
      </c>
      <c r="H29" s="8">
        <v>3.61</v>
      </c>
      <c r="I29" s="12">
        <v>0</v>
      </c>
    </row>
    <row r="30" spans="2:9" ht="15" customHeight="1" x14ac:dyDescent="0.2">
      <c r="B30" t="s">
        <v>111</v>
      </c>
      <c r="C30" s="12">
        <v>7</v>
      </c>
      <c r="D30" s="8">
        <v>2.94</v>
      </c>
      <c r="E30" s="12">
        <v>6</v>
      </c>
      <c r="F30" s="8">
        <v>4.03</v>
      </c>
      <c r="G30" s="12">
        <v>1</v>
      </c>
      <c r="H30" s="8">
        <v>1.2</v>
      </c>
      <c r="I30" s="12">
        <v>0</v>
      </c>
    </row>
    <row r="31" spans="2:9" ht="15" customHeight="1" x14ac:dyDescent="0.2">
      <c r="B31" t="s">
        <v>86</v>
      </c>
      <c r="C31" s="12">
        <v>6</v>
      </c>
      <c r="D31" s="8">
        <v>2.52</v>
      </c>
      <c r="E31" s="12">
        <v>4</v>
      </c>
      <c r="F31" s="8">
        <v>2.68</v>
      </c>
      <c r="G31" s="12">
        <v>2</v>
      </c>
      <c r="H31" s="8">
        <v>2.41</v>
      </c>
      <c r="I31" s="12">
        <v>0</v>
      </c>
    </row>
    <row r="32" spans="2:9" ht="15" customHeight="1" x14ac:dyDescent="0.2">
      <c r="B32" t="s">
        <v>109</v>
      </c>
      <c r="C32" s="12">
        <v>6</v>
      </c>
      <c r="D32" s="8">
        <v>2.52</v>
      </c>
      <c r="E32" s="12">
        <v>1</v>
      </c>
      <c r="F32" s="8">
        <v>0.67</v>
      </c>
      <c r="G32" s="12">
        <v>5</v>
      </c>
      <c r="H32" s="8">
        <v>6.02</v>
      </c>
      <c r="I32" s="12">
        <v>0</v>
      </c>
    </row>
    <row r="33" spans="2:9" ht="15" customHeight="1" x14ac:dyDescent="0.2">
      <c r="B33" t="s">
        <v>87</v>
      </c>
      <c r="C33" s="12">
        <v>6</v>
      </c>
      <c r="D33" s="8">
        <v>2.52</v>
      </c>
      <c r="E33" s="12">
        <v>2</v>
      </c>
      <c r="F33" s="8">
        <v>1.34</v>
      </c>
      <c r="G33" s="12">
        <v>4</v>
      </c>
      <c r="H33" s="8">
        <v>4.82</v>
      </c>
      <c r="I33" s="12">
        <v>0</v>
      </c>
    </row>
    <row r="34" spans="2:9" ht="15" customHeight="1" x14ac:dyDescent="0.2">
      <c r="B34" t="s">
        <v>89</v>
      </c>
      <c r="C34" s="12">
        <v>6</v>
      </c>
      <c r="D34" s="8">
        <v>2.52</v>
      </c>
      <c r="E34" s="12">
        <v>3</v>
      </c>
      <c r="F34" s="8">
        <v>2.0099999999999998</v>
      </c>
      <c r="G34" s="12">
        <v>3</v>
      </c>
      <c r="H34" s="8">
        <v>3.61</v>
      </c>
      <c r="I34" s="12">
        <v>0</v>
      </c>
    </row>
    <row r="35" spans="2:9" ht="15" customHeight="1" x14ac:dyDescent="0.2">
      <c r="B35" t="s">
        <v>100</v>
      </c>
      <c r="C35" s="12">
        <v>6</v>
      </c>
      <c r="D35" s="8">
        <v>2.52</v>
      </c>
      <c r="E35" s="12">
        <v>4</v>
      </c>
      <c r="F35" s="8">
        <v>2.68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102</v>
      </c>
      <c r="C36" s="12">
        <v>5</v>
      </c>
      <c r="D36" s="8">
        <v>2.1</v>
      </c>
      <c r="E36" s="12">
        <v>0</v>
      </c>
      <c r="F36" s="8">
        <v>0</v>
      </c>
      <c r="G36" s="12">
        <v>5</v>
      </c>
      <c r="H36" s="8">
        <v>6.02</v>
      </c>
      <c r="I36" s="12">
        <v>0</v>
      </c>
    </row>
    <row r="37" spans="2:9" ht="15" customHeight="1" x14ac:dyDescent="0.2">
      <c r="B37" t="s">
        <v>103</v>
      </c>
      <c r="C37" s="12">
        <v>5</v>
      </c>
      <c r="D37" s="8">
        <v>2.1</v>
      </c>
      <c r="E37" s="12">
        <v>3</v>
      </c>
      <c r="F37" s="8">
        <v>2.0099999999999998</v>
      </c>
      <c r="G37" s="12">
        <v>2</v>
      </c>
      <c r="H37" s="8">
        <v>2.41</v>
      </c>
      <c r="I37" s="12">
        <v>0</v>
      </c>
    </row>
    <row r="38" spans="2:9" ht="15" customHeight="1" x14ac:dyDescent="0.2">
      <c r="B38" t="s">
        <v>112</v>
      </c>
      <c r="C38" s="12">
        <v>4</v>
      </c>
      <c r="D38" s="8">
        <v>1.68</v>
      </c>
      <c r="E38" s="12">
        <v>3</v>
      </c>
      <c r="F38" s="8">
        <v>2.0099999999999998</v>
      </c>
      <c r="G38" s="12">
        <v>1</v>
      </c>
      <c r="H38" s="8">
        <v>1.2</v>
      </c>
      <c r="I38" s="12">
        <v>0</v>
      </c>
    </row>
    <row r="39" spans="2:9" ht="15" customHeight="1" x14ac:dyDescent="0.2">
      <c r="B39" t="s">
        <v>101</v>
      </c>
      <c r="C39" s="12">
        <v>4</v>
      </c>
      <c r="D39" s="8">
        <v>1.68</v>
      </c>
      <c r="E39" s="12">
        <v>4</v>
      </c>
      <c r="F39" s="8">
        <v>2.68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123</v>
      </c>
      <c r="C40" s="12">
        <v>3</v>
      </c>
      <c r="D40" s="8">
        <v>1.26</v>
      </c>
      <c r="E40" s="12">
        <v>0</v>
      </c>
      <c r="F40" s="8">
        <v>0</v>
      </c>
      <c r="G40" s="12">
        <v>3</v>
      </c>
      <c r="H40" s="8">
        <v>3.61</v>
      </c>
      <c r="I40" s="12">
        <v>0</v>
      </c>
    </row>
    <row r="41" spans="2:9" ht="15" customHeight="1" x14ac:dyDescent="0.2">
      <c r="B41" t="s">
        <v>130</v>
      </c>
      <c r="C41" s="12">
        <v>3</v>
      </c>
      <c r="D41" s="8">
        <v>1.26</v>
      </c>
      <c r="E41" s="12">
        <v>0</v>
      </c>
      <c r="F41" s="8">
        <v>0</v>
      </c>
      <c r="G41" s="12">
        <v>3</v>
      </c>
      <c r="H41" s="8">
        <v>3.61</v>
      </c>
      <c r="I41" s="12">
        <v>0</v>
      </c>
    </row>
    <row r="42" spans="2:9" ht="15" customHeight="1" x14ac:dyDescent="0.2">
      <c r="B42" t="s">
        <v>144</v>
      </c>
      <c r="C42" s="12">
        <v>2</v>
      </c>
      <c r="D42" s="8">
        <v>0.84</v>
      </c>
      <c r="E42" s="12">
        <v>0</v>
      </c>
      <c r="F42" s="8">
        <v>0</v>
      </c>
      <c r="G42" s="12">
        <v>2</v>
      </c>
      <c r="H42" s="8">
        <v>2.41</v>
      </c>
      <c r="I42" s="12">
        <v>0</v>
      </c>
    </row>
    <row r="43" spans="2:9" ht="15" customHeight="1" x14ac:dyDescent="0.2">
      <c r="B43" t="s">
        <v>110</v>
      </c>
      <c r="C43" s="12">
        <v>2</v>
      </c>
      <c r="D43" s="8">
        <v>0.84</v>
      </c>
      <c r="E43" s="12">
        <v>2</v>
      </c>
      <c r="F43" s="8">
        <v>1.34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106</v>
      </c>
      <c r="C44" s="12">
        <v>2</v>
      </c>
      <c r="D44" s="8">
        <v>0.84</v>
      </c>
      <c r="E44" s="12">
        <v>0</v>
      </c>
      <c r="F44" s="8">
        <v>0</v>
      </c>
      <c r="G44" s="12">
        <v>2</v>
      </c>
      <c r="H44" s="8">
        <v>2.41</v>
      </c>
      <c r="I44" s="12">
        <v>0</v>
      </c>
    </row>
    <row r="45" spans="2:9" ht="15" customHeight="1" x14ac:dyDescent="0.2">
      <c r="B45" t="s">
        <v>115</v>
      </c>
      <c r="C45" s="12">
        <v>2</v>
      </c>
      <c r="D45" s="8">
        <v>0.84</v>
      </c>
      <c r="E45" s="12">
        <v>0</v>
      </c>
      <c r="F45" s="8">
        <v>0</v>
      </c>
      <c r="G45" s="12">
        <v>0</v>
      </c>
      <c r="H45" s="8">
        <v>0</v>
      </c>
      <c r="I45" s="12">
        <v>2</v>
      </c>
    </row>
    <row r="46" spans="2:9" ht="15" customHeight="1" x14ac:dyDescent="0.2">
      <c r="B46" t="s">
        <v>88</v>
      </c>
      <c r="C46" s="12">
        <v>2</v>
      </c>
      <c r="D46" s="8">
        <v>0.84</v>
      </c>
      <c r="E46" s="12">
        <v>0</v>
      </c>
      <c r="F46" s="8">
        <v>0</v>
      </c>
      <c r="G46" s="12">
        <v>2</v>
      </c>
      <c r="H46" s="8">
        <v>2.41</v>
      </c>
      <c r="I46" s="12">
        <v>0</v>
      </c>
    </row>
    <row r="47" spans="2:9" ht="15" customHeight="1" x14ac:dyDescent="0.2">
      <c r="B47" t="s">
        <v>91</v>
      </c>
      <c r="C47" s="12">
        <v>2</v>
      </c>
      <c r="D47" s="8">
        <v>0.84</v>
      </c>
      <c r="E47" s="12">
        <v>1</v>
      </c>
      <c r="F47" s="8">
        <v>0.67</v>
      </c>
      <c r="G47" s="12">
        <v>1</v>
      </c>
      <c r="H47" s="8">
        <v>1.2</v>
      </c>
      <c r="I47" s="12">
        <v>0</v>
      </c>
    </row>
    <row r="48" spans="2:9" ht="15" customHeight="1" x14ac:dyDescent="0.2">
      <c r="B48" t="s">
        <v>94</v>
      </c>
      <c r="C48" s="12">
        <v>2</v>
      </c>
      <c r="D48" s="8">
        <v>0.84</v>
      </c>
      <c r="E48" s="12">
        <v>0</v>
      </c>
      <c r="F48" s="8">
        <v>0</v>
      </c>
      <c r="G48" s="12">
        <v>2</v>
      </c>
      <c r="H48" s="8">
        <v>2.41</v>
      </c>
      <c r="I48" s="12">
        <v>0</v>
      </c>
    </row>
    <row r="49" spans="2:9" ht="15" customHeight="1" x14ac:dyDescent="0.2">
      <c r="B49" t="s">
        <v>95</v>
      </c>
      <c r="C49" s="12">
        <v>2</v>
      </c>
      <c r="D49" s="8">
        <v>0.84</v>
      </c>
      <c r="E49" s="12">
        <v>2</v>
      </c>
      <c r="F49" s="8">
        <v>1.34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96</v>
      </c>
      <c r="C50" s="12">
        <v>2</v>
      </c>
      <c r="D50" s="8">
        <v>0.84</v>
      </c>
      <c r="E50" s="12">
        <v>1</v>
      </c>
      <c r="F50" s="8">
        <v>0.67</v>
      </c>
      <c r="G50" s="12">
        <v>1</v>
      </c>
      <c r="H50" s="8">
        <v>1.2</v>
      </c>
      <c r="I50" s="12">
        <v>0</v>
      </c>
    </row>
    <row r="51" spans="2:9" ht="15" customHeight="1" x14ac:dyDescent="0.2">
      <c r="B51" t="s">
        <v>99</v>
      </c>
      <c r="C51" s="12">
        <v>2</v>
      </c>
      <c r="D51" s="8">
        <v>0.84</v>
      </c>
      <c r="E51" s="12">
        <v>1</v>
      </c>
      <c r="F51" s="8">
        <v>0.67</v>
      </c>
      <c r="G51" s="12">
        <v>1</v>
      </c>
      <c r="H51" s="8">
        <v>1.2</v>
      </c>
      <c r="I51" s="12">
        <v>0</v>
      </c>
    </row>
    <row r="52" spans="2:9" ht="15" customHeight="1" x14ac:dyDescent="0.2">
      <c r="B52" t="s">
        <v>145</v>
      </c>
      <c r="C52" s="12">
        <v>2</v>
      </c>
      <c r="D52" s="8">
        <v>0.84</v>
      </c>
      <c r="E52" s="12">
        <v>1</v>
      </c>
      <c r="F52" s="8">
        <v>0.67</v>
      </c>
      <c r="G52" s="12">
        <v>1</v>
      </c>
      <c r="H52" s="8">
        <v>1.2</v>
      </c>
      <c r="I52" s="12">
        <v>0</v>
      </c>
    </row>
    <row r="53" spans="2:9" ht="15" customHeight="1" x14ac:dyDescent="0.2">
      <c r="B53" t="s">
        <v>105</v>
      </c>
      <c r="C53" s="12">
        <v>2</v>
      </c>
      <c r="D53" s="8">
        <v>0.84</v>
      </c>
      <c r="E53" s="12">
        <v>0</v>
      </c>
      <c r="F53" s="8">
        <v>0</v>
      </c>
      <c r="G53" s="12">
        <v>2</v>
      </c>
      <c r="H53" s="8">
        <v>2.41</v>
      </c>
      <c r="I53" s="12">
        <v>0</v>
      </c>
    </row>
    <row r="56" spans="2:9" ht="33" customHeight="1" x14ac:dyDescent="0.2">
      <c r="B56" t="s">
        <v>250</v>
      </c>
      <c r="C56" s="10" t="s">
        <v>77</v>
      </c>
      <c r="D56" s="10" t="s">
        <v>78</v>
      </c>
      <c r="E56" s="10" t="s">
        <v>79</v>
      </c>
      <c r="F56" s="10" t="s">
        <v>80</v>
      </c>
      <c r="G56" s="10" t="s">
        <v>81</v>
      </c>
      <c r="H56" s="10" t="s">
        <v>82</v>
      </c>
      <c r="I56" s="10" t="s">
        <v>83</v>
      </c>
    </row>
    <row r="57" spans="2:9" ht="15" customHeight="1" x14ac:dyDescent="0.2">
      <c r="B57" t="s">
        <v>161</v>
      </c>
      <c r="C57" s="12">
        <v>14</v>
      </c>
      <c r="D57" s="8">
        <v>5.88</v>
      </c>
      <c r="E57" s="12">
        <v>11</v>
      </c>
      <c r="F57" s="8">
        <v>7.38</v>
      </c>
      <c r="G57" s="12">
        <v>3</v>
      </c>
      <c r="H57" s="8">
        <v>3.61</v>
      </c>
      <c r="I57" s="12">
        <v>0</v>
      </c>
    </row>
    <row r="58" spans="2:9" ht="15" customHeight="1" x14ac:dyDescent="0.2">
      <c r="B58" t="s">
        <v>164</v>
      </c>
      <c r="C58" s="12">
        <v>14</v>
      </c>
      <c r="D58" s="8">
        <v>5.88</v>
      </c>
      <c r="E58" s="12">
        <v>13</v>
      </c>
      <c r="F58" s="8">
        <v>8.7200000000000006</v>
      </c>
      <c r="G58" s="12">
        <v>1</v>
      </c>
      <c r="H58" s="8">
        <v>1.2</v>
      </c>
      <c r="I58" s="12">
        <v>0</v>
      </c>
    </row>
    <row r="59" spans="2:9" ht="15" customHeight="1" x14ac:dyDescent="0.2">
      <c r="B59" t="s">
        <v>163</v>
      </c>
      <c r="C59" s="12">
        <v>9</v>
      </c>
      <c r="D59" s="8">
        <v>3.78</v>
      </c>
      <c r="E59" s="12">
        <v>9</v>
      </c>
      <c r="F59" s="8">
        <v>6.04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150</v>
      </c>
      <c r="C60" s="12">
        <v>8</v>
      </c>
      <c r="D60" s="8">
        <v>3.36</v>
      </c>
      <c r="E60" s="12">
        <v>4</v>
      </c>
      <c r="F60" s="8">
        <v>2.68</v>
      </c>
      <c r="G60" s="12">
        <v>4</v>
      </c>
      <c r="H60" s="8">
        <v>4.82</v>
      </c>
      <c r="I60" s="12">
        <v>0</v>
      </c>
    </row>
    <row r="61" spans="2:9" ht="15" customHeight="1" x14ac:dyDescent="0.2">
      <c r="B61" t="s">
        <v>190</v>
      </c>
      <c r="C61" s="12">
        <v>8</v>
      </c>
      <c r="D61" s="8">
        <v>3.36</v>
      </c>
      <c r="E61" s="12">
        <v>7</v>
      </c>
      <c r="F61" s="8">
        <v>4.7</v>
      </c>
      <c r="G61" s="12">
        <v>1</v>
      </c>
      <c r="H61" s="8">
        <v>1.2</v>
      </c>
      <c r="I61" s="12">
        <v>0</v>
      </c>
    </row>
    <row r="62" spans="2:9" ht="15" customHeight="1" x14ac:dyDescent="0.2">
      <c r="B62" t="s">
        <v>154</v>
      </c>
      <c r="C62" s="12">
        <v>8</v>
      </c>
      <c r="D62" s="8">
        <v>3.36</v>
      </c>
      <c r="E62" s="12">
        <v>6</v>
      </c>
      <c r="F62" s="8">
        <v>4.03</v>
      </c>
      <c r="G62" s="12">
        <v>2</v>
      </c>
      <c r="H62" s="8">
        <v>2.41</v>
      </c>
      <c r="I62" s="12">
        <v>0</v>
      </c>
    </row>
    <row r="63" spans="2:9" ht="15" customHeight="1" x14ac:dyDescent="0.2">
      <c r="B63" t="s">
        <v>195</v>
      </c>
      <c r="C63" s="12">
        <v>8</v>
      </c>
      <c r="D63" s="8">
        <v>3.36</v>
      </c>
      <c r="E63" s="12">
        <v>8</v>
      </c>
      <c r="F63" s="8">
        <v>5.37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198</v>
      </c>
      <c r="C64" s="12">
        <v>6</v>
      </c>
      <c r="D64" s="8">
        <v>2.52</v>
      </c>
      <c r="E64" s="12">
        <v>6</v>
      </c>
      <c r="F64" s="8">
        <v>4.03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196</v>
      </c>
      <c r="C65" s="12">
        <v>5</v>
      </c>
      <c r="D65" s="8">
        <v>2.1</v>
      </c>
      <c r="E65" s="12">
        <v>1</v>
      </c>
      <c r="F65" s="8">
        <v>0.67</v>
      </c>
      <c r="G65" s="12">
        <v>4</v>
      </c>
      <c r="H65" s="8">
        <v>4.82</v>
      </c>
      <c r="I65" s="12">
        <v>0</v>
      </c>
    </row>
    <row r="66" spans="2:9" ht="15" customHeight="1" x14ac:dyDescent="0.2">
      <c r="B66" t="s">
        <v>183</v>
      </c>
      <c r="C66" s="12">
        <v>5</v>
      </c>
      <c r="D66" s="8">
        <v>2.1</v>
      </c>
      <c r="E66" s="12">
        <v>0</v>
      </c>
      <c r="F66" s="8">
        <v>0</v>
      </c>
      <c r="G66" s="12">
        <v>5</v>
      </c>
      <c r="H66" s="8">
        <v>6.02</v>
      </c>
      <c r="I66" s="12">
        <v>0</v>
      </c>
    </row>
    <row r="67" spans="2:9" ht="15" customHeight="1" x14ac:dyDescent="0.2">
      <c r="B67" t="s">
        <v>188</v>
      </c>
      <c r="C67" s="12">
        <v>5</v>
      </c>
      <c r="D67" s="8">
        <v>2.1</v>
      </c>
      <c r="E67" s="12">
        <v>1</v>
      </c>
      <c r="F67" s="8">
        <v>0.67</v>
      </c>
      <c r="G67" s="12">
        <v>4</v>
      </c>
      <c r="H67" s="8">
        <v>4.82</v>
      </c>
      <c r="I67" s="12">
        <v>0</v>
      </c>
    </row>
    <row r="68" spans="2:9" ht="15" customHeight="1" x14ac:dyDescent="0.2">
      <c r="B68" t="s">
        <v>156</v>
      </c>
      <c r="C68" s="12">
        <v>5</v>
      </c>
      <c r="D68" s="8">
        <v>2.1</v>
      </c>
      <c r="E68" s="12">
        <v>5</v>
      </c>
      <c r="F68" s="8">
        <v>3.36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194</v>
      </c>
      <c r="C69" s="12">
        <v>5</v>
      </c>
      <c r="D69" s="8">
        <v>2.1</v>
      </c>
      <c r="E69" s="12">
        <v>5</v>
      </c>
      <c r="F69" s="8">
        <v>3.36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181</v>
      </c>
      <c r="C70" s="12">
        <v>5</v>
      </c>
      <c r="D70" s="8">
        <v>2.1</v>
      </c>
      <c r="E70" s="12">
        <v>0</v>
      </c>
      <c r="F70" s="8">
        <v>0</v>
      </c>
      <c r="G70" s="12">
        <v>5</v>
      </c>
      <c r="H70" s="8">
        <v>6.02</v>
      </c>
      <c r="I70" s="12">
        <v>0</v>
      </c>
    </row>
    <row r="71" spans="2:9" ht="15" customHeight="1" x14ac:dyDescent="0.2">
      <c r="B71" t="s">
        <v>167</v>
      </c>
      <c r="C71" s="12">
        <v>5</v>
      </c>
      <c r="D71" s="8">
        <v>2.1</v>
      </c>
      <c r="E71" s="12">
        <v>3</v>
      </c>
      <c r="F71" s="8">
        <v>2.0099999999999998</v>
      </c>
      <c r="G71" s="12">
        <v>2</v>
      </c>
      <c r="H71" s="8">
        <v>2.41</v>
      </c>
      <c r="I71" s="12">
        <v>0</v>
      </c>
    </row>
    <row r="72" spans="2:9" ht="15" customHeight="1" x14ac:dyDescent="0.2">
      <c r="B72" t="s">
        <v>149</v>
      </c>
      <c r="C72" s="12">
        <v>4</v>
      </c>
      <c r="D72" s="8">
        <v>1.68</v>
      </c>
      <c r="E72" s="12">
        <v>1</v>
      </c>
      <c r="F72" s="8">
        <v>0.67</v>
      </c>
      <c r="G72" s="12">
        <v>3</v>
      </c>
      <c r="H72" s="8">
        <v>3.61</v>
      </c>
      <c r="I72" s="12">
        <v>0</v>
      </c>
    </row>
    <row r="73" spans="2:9" ht="15" customHeight="1" x14ac:dyDescent="0.2">
      <c r="B73" t="s">
        <v>209</v>
      </c>
      <c r="C73" s="12">
        <v>4</v>
      </c>
      <c r="D73" s="8">
        <v>1.68</v>
      </c>
      <c r="E73" s="12">
        <v>4</v>
      </c>
      <c r="F73" s="8">
        <v>2.68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177</v>
      </c>
      <c r="C74" s="12">
        <v>4</v>
      </c>
      <c r="D74" s="8">
        <v>1.68</v>
      </c>
      <c r="E74" s="12">
        <v>1</v>
      </c>
      <c r="F74" s="8">
        <v>0.67</v>
      </c>
      <c r="G74" s="12">
        <v>3</v>
      </c>
      <c r="H74" s="8">
        <v>3.61</v>
      </c>
      <c r="I74" s="12">
        <v>0</v>
      </c>
    </row>
    <row r="75" spans="2:9" ht="15" customHeight="1" x14ac:dyDescent="0.2">
      <c r="B75" t="s">
        <v>232</v>
      </c>
      <c r="C75" s="12">
        <v>4</v>
      </c>
      <c r="D75" s="8">
        <v>1.68</v>
      </c>
      <c r="E75" s="12">
        <v>2</v>
      </c>
      <c r="F75" s="8">
        <v>1.34</v>
      </c>
      <c r="G75" s="12">
        <v>2</v>
      </c>
      <c r="H75" s="8">
        <v>2.41</v>
      </c>
      <c r="I75" s="12">
        <v>0</v>
      </c>
    </row>
    <row r="76" spans="2:9" ht="15" customHeight="1" x14ac:dyDescent="0.2">
      <c r="B76" t="s">
        <v>244</v>
      </c>
      <c r="C76" s="12">
        <v>4</v>
      </c>
      <c r="D76" s="8">
        <v>1.68</v>
      </c>
      <c r="E76" s="12">
        <v>2</v>
      </c>
      <c r="F76" s="8">
        <v>1.34</v>
      </c>
      <c r="G76" s="12">
        <v>2</v>
      </c>
      <c r="H76" s="8">
        <v>2.41</v>
      </c>
      <c r="I76" s="12">
        <v>0</v>
      </c>
    </row>
    <row r="77" spans="2:9" ht="15" customHeight="1" x14ac:dyDescent="0.2">
      <c r="B77" t="s">
        <v>192</v>
      </c>
      <c r="C77" s="12">
        <v>4</v>
      </c>
      <c r="D77" s="8">
        <v>1.68</v>
      </c>
      <c r="E77" s="12">
        <v>3</v>
      </c>
      <c r="F77" s="8">
        <v>2.0099999999999998</v>
      </c>
      <c r="G77" s="12">
        <v>1</v>
      </c>
      <c r="H77" s="8">
        <v>1.2</v>
      </c>
      <c r="I77" s="12">
        <v>0</v>
      </c>
    </row>
    <row r="78" spans="2:9" ht="15" customHeight="1" x14ac:dyDescent="0.2">
      <c r="B78" t="s">
        <v>243</v>
      </c>
      <c r="C78" s="12">
        <v>4</v>
      </c>
      <c r="D78" s="8">
        <v>1.68</v>
      </c>
      <c r="E78" s="12">
        <v>4</v>
      </c>
      <c r="F78" s="8">
        <v>2.68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162</v>
      </c>
      <c r="C79" s="12">
        <v>4</v>
      </c>
      <c r="D79" s="8">
        <v>1.68</v>
      </c>
      <c r="E79" s="12">
        <v>4</v>
      </c>
      <c r="F79" s="8">
        <v>2.68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193</v>
      </c>
      <c r="C80" s="12">
        <v>4</v>
      </c>
      <c r="D80" s="8">
        <v>1.68</v>
      </c>
      <c r="E80" s="12">
        <v>4</v>
      </c>
      <c r="F80" s="8">
        <v>2.68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200</v>
      </c>
      <c r="C81" s="12">
        <v>4</v>
      </c>
      <c r="D81" s="8">
        <v>1.68</v>
      </c>
      <c r="E81" s="12">
        <v>3</v>
      </c>
      <c r="F81" s="8">
        <v>2.0099999999999998</v>
      </c>
      <c r="G81" s="12">
        <v>1</v>
      </c>
      <c r="H81" s="8">
        <v>1.2</v>
      </c>
      <c r="I81" s="12">
        <v>0</v>
      </c>
    </row>
    <row r="83" spans="2:9" ht="15" customHeight="1" x14ac:dyDescent="0.2">
      <c r="B83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85AED-D8F1-42EA-B739-807B2827C4E7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253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580</v>
      </c>
      <c r="D6" s="8">
        <v>12.5</v>
      </c>
      <c r="E6" s="12">
        <v>25</v>
      </c>
      <c r="F6" s="8">
        <v>1.55</v>
      </c>
      <c r="G6" s="12">
        <v>555</v>
      </c>
      <c r="H6" s="8">
        <v>18.41</v>
      </c>
      <c r="I6" s="12">
        <v>0</v>
      </c>
    </row>
    <row r="7" spans="2:9" ht="15" customHeight="1" x14ac:dyDescent="0.2">
      <c r="B7" t="s">
        <v>63</v>
      </c>
      <c r="C7" s="12">
        <v>149</v>
      </c>
      <c r="D7" s="8">
        <v>3.21</v>
      </c>
      <c r="E7" s="12">
        <v>22</v>
      </c>
      <c r="F7" s="8">
        <v>1.36</v>
      </c>
      <c r="G7" s="12">
        <v>127</v>
      </c>
      <c r="H7" s="8">
        <v>4.21</v>
      </c>
      <c r="I7" s="12">
        <v>0</v>
      </c>
    </row>
    <row r="8" spans="2:9" ht="15" customHeight="1" x14ac:dyDescent="0.2">
      <c r="B8" t="s">
        <v>64</v>
      </c>
      <c r="C8" s="12">
        <v>43</v>
      </c>
      <c r="D8" s="8">
        <v>0.93</v>
      </c>
      <c r="E8" s="12">
        <v>0</v>
      </c>
      <c r="F8" s="8">
        <v>0</v>
      </c>
      <c r="G8" s="12">
        <v>43</v>
      </c>
      <c r="H8" s="8">
        <v>1.43</v>
      </c>
      <c r="I8" s="12">
        <v>0</v>
      </c>
    </row>
    <row r="9" spans="2:9" ht="15" customHeight="1" x14ac:dyDescent="0.2">
      <c r="B9" t="s">
        <v>65</v>
      </c>
      <c r="C9" s="12">
        <v>61</v>
      </c>
      <c r="D9" s="8">
        <v>1.31</v>
      </c>
      <c r="E9" s="12">
        <v>2</v>
      </c>
      <c r="F9" s="8">
        <v>0.12</v>
      </c>
      <c r="G9" s="12">
        <v>59</v>
      </c>
      <c r="H9" s="8">
        <v>1.96</v>
      </c>
      <c r="I9" s="12">
        <v>0</v>
      </c>
    </row>
    <row r="10" spans="2:9" ht="15" customHeight="1" x14ac:dyDescent="0.2">
      <c r="B10" t="s">
        <v>66</v>
      </c>
      <c r="C10" s="12">
        <v>67</v>
      </c>
      <c r="D10" s="8">
        <v>1.44</v>
      </c>
      <c r="E10" s="12">
        <v>8</v>
      </c>
      <c r="F10" s="8">
        <v>0.5</v>
      </c>
      <c r="G10" s="12">
        <v>59</v>
      </c>
      <c r="H10" s="8">
        <v>1.96</v>
      </c>
      <c r="I10" s="12">
        <v>0</v>
      </c>
    </row>
    <row r="11" spans="2:9" ht="15" customHeight="1" x14ac:dyDescent="0.2">
      <c r="B11" t="s">
        <v>67</v>
      </c>
      <c r="C11" s="12">
        <v>945</v>
      </c>
      <c r="D11" s="8">
        <v>20.37</v>
      </c>
      <c r="E11" s="12">
        <v>204</v>
      </c>
      <c r="F11" s="8">
        <v>12.63</v>
      </c>
      <c r="G11" s="12">
        <v>740</v>
      </c>
      <c r="H11" s="8">
        <v>24.54</v>
      </c>
      <c r="I11" s="12">
        <v>1</v>
      </c>
    </row>
    <row r="12" spans="2:9" ht="15" customHeight="1" x14ac:dyDescent="0.2">
      <c r="B12" t="s">
        <v>68</v>
      </c>
      <c r="C12" s="12">
        <v>62</v>
      </c>
      <c r="D12" s="8">
        <v>1.34</v>
      </c>
      <c r="E12" s="12">
        <v>2</v>
      </c>
      <c r="F12" s="8">
        <v>0.12</v>
      </c>
      <c r="G12" s="12">
        <v>60</v>
      </c>
      <c r="H12" s="8">
        <v>1.99</v>
      </c>
      <c r="I12" s="12">
        <v>0</v>
      </c>
    </row>
    <row r="13" spans="2:9" ht="15" customHeight="1" x14ac:dyDescent="0.2">
      <c r="B13" t="s">
        <v>69</v>
      </c>
      <c r="C13" s="12">
        <v>672</v>
      </c>
      <c r="D13" s="8">
        <v>14.49</v>
      </c>
      <c r="E13" s="12">
        <v>204</v>
      </c>
      <c r="F13" s="8">
        <v>12.63</v>
      </c>
      <c r="G13" s="12">
        <v>467</v>
      </c>
      <c r="H13" s="8">
        <v>15.49</v>
      </c>
      <c r="I13" s="12">
        <v>1</v>
      </c>
    </row>
    <row r="14" spans="2:9" ht="15" customHeight="1" x14ac:dyDescent="0.2">
      <c r="B14" t="s">
        <v>70</v>
      </c>
      <c r="C14" s="12">
        <v>503</v>
      </c>
      <c r="D14" s="8">
        <v>10.84</v>
      </c>
      <c r="E14" s="12">
        <v>229</v>
      </c>
      <c r="F14" s="8">
        <v>14.18</v>
      </c>
      <c r="G14" s="12">
        <v>273</v>
      </c>
      <c r="H14" s="8">
        <v>9.0500000000000007</v>
      </c>
      <c r="I14" s="12">
        <v>0</v>
      </c>
    </row>
    <row r="15" spans="2:9" ht="15" customHeight="1" x14ac:dyDescent="0.2">
      <c r="B15" t="s">
        <v>71</v>
      </c>
      <c r="C15" s="12">
        <v>476</v>
      </c>
      <c r="D15" s="8">
        <v>10.26</v>
      </c>
      <c r="E15" s="12">
        <v>317</v>
      </c>
      <c r="F15" s="8">
        <v>19.63</v>
      </c>
      <c r="G15" s="12">
        <v>159</v>
      </c>
      <c r="H15" s="8">
        <v>5.27</v>
      </c>
      <c r="I15" s="12">
        <v>0</v>
      </c>
    </row>
    <row r="16" spans="2:9" ht="15" customHeight="1" x14ac:dyDescent="0.2">
      <c r="B16" t="s">
        <v>72</v>
      </c>
      <c r="C16" s="12">
        <v>567</v>
      </c>
      <c r="D16" s="8">
        <v>12.22</v>
      </c>
      <c r="E16" s="12">
        <v>374</v>
      </c>
      <c r="F16" s="8">
        <v>23.16</v>
      </c>
      <c r="G16" s="12">
        <v>192</v>
      </c>
      <c r="H16" s="8">
        <v>6.37</v>
      </c>
      <c r="I16" s="12">
        <v>1</v>
      </c>
    </row>
    <row r="17" spans="2:9" ht="15" customHeight="1" x14ac:dyDescent="0.2">
      <c r="B17" t="s">
        <v>73</v>
      </c>
      <c r="C17" s="12">
        <v>130</v>
      </c>
      <c r="D17" s="8">
        <v>2.8</v>
      </c>
      <c r="E17" s="12">
        <v>73</v>
      </c>
      <c r="F17" s="8">
        <v>4.5199999999999996</v>
      </c>
      <c r="G17" s="12">
        <v>56</v>
      </c>
      <c r="H17" s="8">
        <v>1.86</v>
      </c>
      <c r="I17" s="12">
        <v>1</v>
      </c>
    </row>
    <row r="18" spans="2:9" ht="15" customHeight="1" x14ac:dyDescent="0.2">
      <c r="B18" t="s">
        <v>74</v>
      </c>
      <c r="C18" s="12">
        <v>233</v>
      </c>
      <c r="D18" s="8">
        <v>5.0199999999999996</v>
      </c>
      <c r="E18" s="12">
        <v>144</v>
      </c>
      <c r="F18" s="8">
        <v>8.92</v>
      </c>
      <c r="G18" s="12">
        <v>88</v>
      </c>
      <c r="H18" s="8">
        <v>2.92</v>
      </c>
      <c r="I18" s="12">
        <v>1</v>
      </c>
    </row>
    <row r="19" spans="2:9" ht="15" customHeight="1" x14ac:dyDescent="0.2">
      <c r="B19" t="s">
        <v>75</v>
      </c>
      <c r="C19" s="12">
        <v>151</v>
      </c>
      <c r="D19" s="8">
        <v>3.26</v>
      </c>
      <c r="E19" s="12">
        <v>11</v>
      </c>
      <c r="F19" s="8">
        <v>0.68</v>
      </c>
      <c r="G19" s="12">
        <v>137</v>
      </c>
      <c r="H19" s="8">
        <v>4.54</v>
      </c>
      <c r="I19" s="12">
        <v>2</v>
      </c>
    </row>
    <row r="20" spans="2:9" ht="15" customHeight="1" x14ac:dyDescent="0.2">
      <c r="B20" s="9" t="s">
        <v>248</v>
      </c>
      <c r="C20" s="12">
        <f>SUM(LTBL_12101[総数／事業所数])</f>
        <v>4639</v>
      </c>
      <c r="E20" s="12">
        <f>SUBTOTAL(109,LTBL_12101[個人／事業所数])</f>
        <v>1615</v>
      </c>
      <c r="G20" s="12">
        <f>SUBTOTAL(109,LTBL_12101[法人／事業所数])</f>
        <v>3015</v>
      </c>
      <c r="I20" s="12">
        <f>SUBTOTAL(109,LTBL_12101[法人以外の団体／事業所数])</f>
        <v>7</v>
      </c>
    </row>
    <row r="21" spans="2:9" ht="15" customHeight="1" x14ac:dyDescent="0.2">
      <c r="E21" s="11">
        <f>LTBL_12101[[#Totals],[個人／事業所数]]/LTBL_12101[[#Totals],[総数／事業所数]]</f>
        <v>0.34813537400301792</v>
      </c>
      <c r="G21" s="11">
        <f>LTBL_12101[[#Totals],[法人／事業所数]]/LTBL_12101[[#Totals],[総数／事業所数]]</f>
        <v>0.64992455270532445</v>
      </c>
      <c r="I21" s="11">
        <f>LTBL_12101[[#Totals],[法人以外の団体／事業所数]]/LTBL_12101[[#Totals],[総数／事業所数]]</f>
        <v>1.5089458935115326E-3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94</v>
      </c>
      <c r="C24" s="12">
        <v>527</v>
      </c>
      <c r="D24" s="8">
        <v>11.36</v>
      </c>
      <c r="E24" s="12">
        <v>204</v>
      </c>
      <c r="F24" s="8">
        <v>12.63</v>
      </c>
      <c r="G24" s="12">
        <v>322</v>
      </c>
      <c r="H24" s="8">
        <v>10.68</v>
      </c>
      <c r="I24" s="12">
        <v>1</v>
      </c>
    </row>
    <row r="25" spans="2:9" ht="15" customHeight="1" x14ac:dyDescent="0.2">
      <c r="B25" t="s">
        <v>98</v>
      </c>
      <c r="C25" s="12">
        <v>467</v>
      </c>
      <c r="D25" s="8">
        <v>10.07</v>
      </c>
      <c r="E25" s="12">
        <v>343</v>
      </c>
      <c r="F25" s="8">
        <v>21.24</v>
      </c>
      <c r="G25" s="12">
        <v>124</v>
      </c>
      <c r="H25" s="8">
        <v>4.1100000000000003</v>
      </c>
      <c r="I25" s="12">
        <v>0</v>
      </c>
    </row>
    <row r="26" spans="2:9" ht="15" customHeight="1" x14ac:dyDescent="0.2">
      <c r="B26" t="s">
        <v>97</v>
      </c>
      <c r="C26" s="12">
        <v>443</v>
      </c>
      <c r="D26" s="8">
        <v>9.5500000000000007</v>
      </c>
      <c r="E26" s="12">
        <v>311</v>
      </c>
      <c r="F26" s="8">
        <v>19.260000000000002</v>
      </c>
      <c r="G26" s="12">
        <v>132</v>
      </c>
      <c r="H26" s="8">
        <v>4.38</v>
      </c>
      <c r="I26" s="12">
        <v>0</v>
      </c>
    </row>
    <row r="27" spans="2:9" ht="15" customHeight="1" x14ac:dyDescent="0.2">
      <c r="B27" t="s">
        <v>95</v>
      </c>
      <c r="C27" s="12">
        <v>299</v>
      </c>
      <c r="D27" s="8">
        <v>6.45</v>
      </c>
      <c r="E27" s="12">
        <v>203</v>
      </c>
      <c r="F27" s="8">
        <v>12.57</v>
      </c>
      <c r="G27" s="12">
        <v>96</v>
      </c>
      <c r="H27" s="8">
        <v>3.18</v>
      </c>
      <c r="I27" s="12">
        <v>0</v>
      </c>
    </row>
    <row r="28" spans="2:9" ht="15" customHeight="1" x14ac:dyDescent="0.2">
      <c r="B28" t="s">
        <v>92</v>
      </c>
      <c r="C28" s="12">
        <v>272</v>
      </c>
      <c r="D28" s="8">
        <v>5.86</v>
      </c>
      <c r="E28" s="12">
        <v>86</v>
      </c>
      <c r="F28" s="8">
        <v>5.33</v>
      </c>
      <c r="G28" s="12">
        <v>185</v>
      </c>
      <c r="H28" s="8">
        <v>6.14</v>
      </c>
      <c r="I28" s="12">
        <v>1</v>
      </c>
    </row>
    <row r="29" spans="2:9" ht="15" customHeight="1" x14ac:dyDescent="0.2">
      <c r="B29" t="s">
        <v>84</v>
      </c>
      <c r="C29" s="12">
        <v>231</v>
      </c>
      <c r="D29" s="8">
        <v>4.9800000000000004</v>
      </c>
      <c r="E29" s="12">
        <v>4</v>
      </c>
      <c r="F29" s="8">
        <v>0.25</v>
      </c>
      <c r="G29" s="12">
        <v>227</v>
      </c>
      <c r="H29" s="8">
        <v>7.53</v>
      </c>
      <c r="I29" s="12">
        <v>0</v>
      </c>
    </row>
    <row r="30" spans="2:9" ht="15" customHeight="1" x14ac:dyDescent="0.2">
      <c r="B30" t="s">
        <v>96</v>
      </c>
      <c r="C30" s="12">
        <v>181</v>
      </c>
      <c r="D30" s="8">
        <v>3.9</v>
      </c>
      <c r="E30" s="12">
        <v>25</v>
      </c>
      <c r="F30" s="8">
        <v>1.55</v>
      </c>
      <c r="G30" s="12">
        <v>155</v>
      </c>
      <c r="H30" s="8">
        <v>5.14</v>
      </c>
      <c r="I30" s="12">
        <v>0</v>
      </c>
    </row>
    <row r="31" spans="2:9" ht="15" customHeight="1" x14ac:dyDescent="0.2">
      <c r="B31" t="s">
        <v>86</v>
      </c>
      <c r="C31" s="12">
        <v>179</v>
      </c>
      <c r="D31" s="8">
        <v>3.86</v>
      </c>
      <c r="E31" s="12">
        <v>5</v>
      </c>
      <c r="F31" s="8">
        <v>0.31</v>
      </c>
      <c r="G31" s="12">
        <v>174</v>
      </c>
      <c r="H31" s="8">
        <v>5.77</v>
      </c>
      <c r="I31" s="12">
        <v>0</v>
      </c>
    </row>
    <row r="32" spans="2:9" ht="15" customHeight="1" x14ac:dyDescent="0.2">
      <c r="B32" t="s">
        <v>85</v>
      </c>
      <c r="C32" s="12">
        <v>170</v>
      </c>
      <c r="D32" s="8">
        <v>3.66</v>
      </c>
      <c r="E32" s="12">
        <v>16</v>
      </c>
      <c r="F32" s="8">
        <v>0.99</v>
      </c>
      <c r="G32" s="12">
        <v>154</v>
      </c>
      <c r="H32" s="8">
        <v>5.1100000000000003</v>
      </c>
      <c r="I32" s="12">
        <v>0</v>
      </c>
    </row>
    <row r="33" spans="2:9" ht="15" customHeight="1" x14ac:dyDescent="0.2">
      <c r="B33" t="s">
        <v>101</v>
      </c>
      <c r="C33" s="12">
        <v>170</v>
      </c>
      <c r="D33" s="8">
        <v>3.66</v>
      </c>
      <c r="E33" s="12">
        <v>143</v>
      </c>
      <c r="F33" s="8">
        <v>8.85</v>
      </c>
      <c r="G33" s="12">
        <v>27</v>
      </c>
      <c r="H33" s="8">
        <v>0.9</v>
      </c>
      <c r="I33" s="12">
        <v>0</v>
      </c>
    </row>
    <row r="34" spans="2:9" ht="15" customHeight="1" x14ac:dyDescent="0.2">
      <c r="B34" t="s">
        <v>90</v>
      </c>
      <c r="C34" s="12">
        <v>147</v>
      </c>
      <c r="D34" s="8">
        <v>3.17</v>
      </c>
      <c r="E34" s="12">
        <v>60</v>
      </c>
      <c r="F34" s="8">
        <v>3.72</v>
      </c>
      <c r="G34" s="12">
        <v>87</v>
      </c>
      <c r="H34" s="8">
        <v>2.89</v>
      </c>
      <c r="I34" s="12">
        <v>0</v>
      </c>
    </row>
    <row r="35" spans="2:9" ht="15" customHeight="1" x14ac:dyDescent="0.2">
      <c r="B35" t="s">
        <v>100</v>
      </c>
      <c r="C35" s="12">
        <v>130</v>
      </c>
      <c r="D35" s="8">
        <v>2.8</v>
      </c>
      <c r="E35" s="12">
        <v>73</v>
      </c>
      <c r="F35" s="8">
        <v>4.5199999999999996</v>
      </c>
      <c r="G35" s="12">
        <v>56</v>
      </c>
      <c r="H35" s="8">
        <v>1.86</v>
      </c>
      <c r="I35" s="12">
        <v>1</v>
      </c>
    </row>
    <row r="36" spans="2:9" ht="15" customHeight="1" x14ac:dyDescent="0.2">
      <c r="B36" t="s">
        <v>89</v>
      </c>
      <c r="C36" s="12">
        <v>117</v>
      </c>
      <c r="D36" s="8">
        <v>2.52</v>
      </c>
      <c r="E36" s="12">
        <v>23</v>
      </c>
      <c r="F36" s="8">
        <v>1.42</v>
      </c>
      <c r="G36" s="12">
        <v>94</v>
      </c>
      <c r="H36" s="8">
        <v>3.12</v>
      </c>
      <c r="I36" s="12">
        <v>0</v>
      </c>
    </row>
    <row r="37" spans="2:9" ht="15" customHeight="1" x14ac:dyDescent="0.2">
      <c r="B37" t="s">
        <v>93</v>
      </c>
      <c r="C37" s="12">
        <v>109</v>
      </c>
      <c r="D37" s="8">
        <v>2.35</v>
      </c>
      <c r="E37" s="12">
        <v>0</v>
      </c>
      <c r="F37" s="8">
        <v>0</v>
      </c>
      <c r="G37" s="12">
        <v>109</v>
      </c>
      <c r="H37" s="8">
        <v>3.62</v>
      </c>
      <c r="I37" s="12">
        <v>0</v>
      </c>
    </row>
    <row r="38" spans="2:9" ht="15" customHeight="1" x14ac:dyDescent="0.2">
      <c r="B38" t="s">
        <v>88</v>
      </c>
      <c r="C38" s="12">
        <v>97</v>
      </c>
      <c r="D38" s="8">
        <v>2.09</v>
      </c>
      <c r="E38" s="12">
        <v>0</v>
      </c>
      <c r="F38" s="8">
        <v>0</v>
      </c>
      <c r="G38" s="12">
        <v>97</v>
      </c>
      <c r="H38" s="8">
        <v>3.22</v>
      </c>
      <c r="I38" s="12">
        <v>0</v>
      </c>
    </row>
    <row r="39" spans="2:9" ht="15" customHeight="1" x14ac:dyDescent="0.2">
      <c r="B39" t="s">
        <v>91</v>
      </c>
      <c r="C39" s="12">
        <v>77</v>
      </c>
      <c r="D39" s="8">
        <v>1.66</v>
      </c>
      <c r="E39" s="12">
        <v>25</v>
      </c>
      <c r="F39" s="8">
        <v>1.55</v>
      </c>
      <c r="G39" s="12">
        <v>52</v>
      </c>
      <c r="H39" s="8">
        <v>1.72</v>
      </c>
      <c r="I39" s="12">
        <v>0</v>
      </c>
    </row>
    <row r="40" spans="2:9" ht="15" customHeight="1" x14ac:dyDescent="0.2">
      <c r="B40" t="s">
        <v>105</v>
      </c>
      <c r="C40" s="12">
        <v>77</v>
      </c>
      <c r="D40" s="8">
        <v>1.66</v>
      </c>
      <c r="E40" s="12">
        <v>1</v>
      </c>
      <c r="F40" s="8">
        <v>0.06</v>
      </c>
      <c r="G40" s="12">
        <v>74</v>
      </c>
      <c r="H40" s="8">
        <v>2.4500000000000002</v>
      </c>
      <c r="I40" s="12">
        <v>2</v>
      </c>
    </row>
    <row r="41" spans="2:9" ht="15" customHeight="1" x14ac:dyDescent="0.2">
      <c r="B41" t="s">
        <v>104</v>
      </c>
      <c r="C41" s="12">
        <v>73</v>
      </c>
      <c r="D41" s="8">
        <v>1.57</v>
      </c>
      <c r="E41" s="12">
        <v>2</v>
      </c>
      <c r="F41" s="8">
        <v>0.12</v>
      </c>
      <c r="G41" s="12">
        <v>71</v>
      </c>
      <c r="H41" s="8">
        <v>2.35</v>
      </c>
      <c r="I41" s="12">
        <v>0</v>
      </c>
    </row>
    <row r="42" spans="2:9" ht="15" customHeight="1" x14ac:dyDescent="0.2">
      <c r="B42" t="s">
        <v>99</v>
      </c>
      <c r="C42" s="12">
        <v>70</v>
      </c>
      <c r="D42" s="8">
        <v>1.51</v>
      </c>
      <c r="E42" s="12">
        <v>21</v>
      </c>
      <c r="F42" s="8">
        <v>1.3</v>
      </c>
      <c r="G42" s="12">
        <v>49</v>
      </c>
      <c r="H42" s="8">
        <v>1.63</v>
      </c>
      <c r="I42" s="12">
        <v>0</v>
      </c>
    </row>
    <row r="43" spans="2:9" ht="15" customHeight="1" x14ac:dyDescent="0.2">
      <c r="B43" t="s">
        <v>87</v>
      </c>
      <c r="C43" s="12">
        <v>68</v>
      </c>
      <c r="D43" s="8">
        <v>1.47</v>
      </c>
      <c r="E43" s="12">
        <v>2</v>
      </c>
      <c r="F43" s="8">
        <v>0.12</v>
      </c>
      <c r="G43" s="12">
        <v>66</v>
      </c>
      <c r="H43" s="8">
        <v>2.19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158</v>
      </c>
      <c r="C47" s="12">
        <v>289</v>
      </c>
      <c r="D47" s="8">
        <v>6.23</v>
      </c>
      <c r="E47" s="12">
        <v>157</v>
      </c>
      <c r="F47" s="8">
        <v>9.7200000000000006</v>
      </c>
      <c r="G47" s="12">
        <v>132</v>
      </c>
      <c r="H47" s="8">
        <v>4.38</v>
      </c>
      <c r="I47" s="12">
        <v>0</v>
      </c>
    </row>
    <row r="48" spans="2:9" ht="15" customHeight="1" x14ac:dyDescent="0.2">
      <c r="B48" t="s">
        <v>164</v>
      </c>
      <c r="C48" s="12">
        <v>201</v>
      </c>
      <c r="D48" s="8">
        <v>4.33</v>
      </c>
      <c r="E48" s="12">
        <v>160</v>
      </c>
      <c r="F48" s="8">
        <v>9.91</v>
      </c>
      <c r="G48" s="12">
        <v>41</v>
      </c>
      <c r="H48" s="8">
        <v>1.36</v>
      </c>
      <c r="I48" s="12">
        <v>0</v>
      </c>
    </row>
    <row r="49" spans="2:9" ht="15" customHeight="1" x14ac:dyDescent="0.2">
      <c r="B49" t="s">
        <v>161</v>
      </c>
      <c r="C49" s="12">
        <v>141</v>
      </c>
      <c r="D49" s="8">
        <v>3.04</v>
      </c>
      <c r="E49" s="12">
        <v>87</v>
      </c>
      <c r="F49" s="8">
        <v>5.39</v>
      </c>
      <c r="G49" s="12">
        <v>54</v>
      </c>
      <c r="H49" s="8">
        <v>1.79</v>
      </c>
      <c r="I49" s="12">
        <v>0</v>
      </c>
    </row>
    <row r="50" spans="2:9" ht="15" customHeight="1" x14ac:dyDescent="0.2">
      <c r="B50" t="s">
        <v>163</v>
      </c>
      <c r="C50" s="12">
        <v>131</v>
      </c>
      <c r="D50" s="8">
        <v>2.82</v>
      </c>
      <c r="E50" s="12">
        <v>121</v>
      </c>
      <c r="F50" s="8">
        <v>7.49</v>
      </c>
      <c r="G50" s="12">
        <v>10</v>
      </c>
      <c r="H50" s="8">
        <v>0.33</v>
      </c>
      <c r="I50" s="12">
        <v>0</v>
      </c>
    </row>
    <row r="51" spans="2:9" ht="15" customHeight="1" x14ac:dyDescent="0.2">
      <c r="B51" t="s">
        <v>160</v>
      </c>
      <c r="C51" s="12">
        <v>127</v>
      </c>
      <c r="D51" s="8">
        <v>2.74</v>
      </c>
      <c r="E51" s="12">
        <v>9</v>
      </c>
      <c r="F51" s="8">
        <v>0.56000000000000005</v>
      </c>
      <c r="G51" s="12">
        <v>117</v>
      </c>
      <c r="H51" s="8">
        <v>3.88</v>
      </c>
      <c r="I51" s="12">
        <v>0</v>
      </c>
    </row>
    <row r="52" spans="2:9" ht="15" customHeight="1" x14ac:dyDescent="0.2">
      <c r="B52" t="s">
        <v>162</v>
      </c>
      <c r="C52" s="12">
        <v>115</v>
      </c>
      <c r="D52" s="8">
        <v>2.48</v>
      </c>
      <c r="E52" s="12">
        <v>90</v>
      </c>
      <c r="F52" s="8">
        <v>5.57</v>
      </c>
      <c r="G52" s="12">
        <v>25</v>
      </c>
      <c r="H52" s="8">
        <v>0.83</v>
      </c>
      <c r="I52" s="12">
        <v>0</v>
      </c>
    </row>
    <row r="53" spans="2:9" ht="15" customHeight="1" x14ac:dyDescent="0.2">
      <c r="B53" t="s">
        <v>157</v>
      </c>
      <c r="C53" s="12">
        <v>106</v>
      </c>
      <c r="D53" s="8">
        <v>2.2799999999999998</v>
      </c>
      <c r="E53" s="12">
        <v>18</v>
      </c>
      <c r="F53" s="8">
        <v>1.1100000000000001</v>
      </c>
      <c r="G53" s="12">
        <v>88</v>
      </c>
      <c r="H53" s="8">
        <v>2.92</v>
      </c>
      <c r="I53" s="12">
        <v>0</v>
      </c>
    </row>
    <row r="54" spans="2:9" ht="15" customHeight="1" x14ac:dyDescent="0.2">
      <c r="B54" t="s">
        <v>172</v>
      </c>
      <c r="C54" s="12">
        <v>105</v>
      </c>
      <c r="D54" s="8">
        <v>2.2599999999999998</v>
      </c>
      <c r="E54" s="12">
        <v>93</v>
      </c>
      <c r="F54" s="8">
        <v>5.76</v>
      </c>
      <c r="G54" s="12">
        <v>12</v>
      </c>
      <c r="H54" s="8">
        <v>0.4</v>
      </c>
      <c r="I54" s="12">
        <v>0</v>
      </c>
    </row>
    <row r="55" spans="2:9" ht="15" customHeight="1" x14ac:dyDescent="0.2">
      <c r="B55" t="s">
        <v>166</v>
      </c>
      <c r="C55" s="12">
        <v>101</v>
      </c>
      <c r="D55" s="8">
        <v>2.1800000000000002</v>
      </c>
      <c r="E55" s="12">
        <v>82</v>
      </c>
      <c r="F55" s="8">
        <v>5.08</v>
      </c>
      <c r="G55" s="12">
        <v>19</v>
      </c>
      <c r="H55" s="8">
        <v>0.63</v>
      </c>
      <c r="I55" s="12">
        <v>0</v>
      </c>
    </row>
    <row r="56" spans="2:9" ht="15" customHeight="1" x14ac:dyDescent="0.2">
      <c r="B56" t="s">
        <v>156</v>
      </c>
      <c r="C56" s="12">
        <v>98</v>
      </c>
      <c r="D56" s="8">
        <v>2.11</v>
      </c>
      <c r="E56" s="12">
        <v>42</v>
      </c>
      <c r="F56" s="8">
        <v>2.6</v>
      </c>
      <c r="G56" s="12">
        <v>55</v>
      </c>
      <c r="H56" s="8">
        <v>1.82</v>
      </c>
      <c r="I56" s="12">
        <v>1</v>
      </c>
    </row>
    <row r="57" spans="2:9" ht="15" customHeight="1" x14ac:dyDescent="0.2">
      <c r="B57" t="s">
        <v>159</v>
      </c>
      <c r="C57" s="12">
        <v>79</v>
      </c>
      <c r="D57" s="8">
        <v>1.7</v>
      </c>
      <c r="E57" s="12">
        <v>4</v>
      </c>
      <c r="F57" s="8">
        <v>0.25</v>
      </c>
      <c r="G57" s="12">
        <v>74</v>
      </c>
      <c r="H57" s="8">
        <v>2.4500000000000002</v>
      </c>
      <c r="I57" s="12">
        <v>1</v>
      </c>
    </row>
    <row r="58" spans="2:9" ht="15" customHeight="1" x14ac:dyDescent="0.2">
      <c r="B58" t="s">
        <v>165</v>
      </c>
      <c r="C58" s="12">
        <v>74</v>
      </c>
      <c r="D58" s="8">
        <v>1.6</v>
      </c>
      <c r="E58" s="12">
        <v>47</v>
      </c>
      <c r="F58" s="8">
        <v>2.91</v>
      </c>
      <c r="G58" s="12">
        <v>27</v>
      </c>
      <c r="H58" s="8">
        <v>0.9</v>
      </c>
      <c r="I58" s="12">
        <v>0</v>
      </c>
    </row>
    <row r="59" spans="2:9" ht="15" customHeight="1" x14ac:dyDescent="0.2">
      <c r="B59" t="s">
        <v>148</v>
      </c>
      <c r="C59" s="12">
        <v>68</v>
      </c>
      <c r="D59" s="8">
        <v>1.47</v>
      </c>
      <c r="E59" s="12">
        <v>2</v>
      </c>
      <c r="F59" s="8">
        <v>0.12</v>
      </c>
      <c r="G59" s="12">
        <v>66</v>
      </c>
      <c r="H59" s="8">
        <v>2.19</v>
      </c>
      <c r="I59" s="12">
        <v>0</v>
      </c>
    </row>
    <row r="60" spans="2:9" ht="15" customHeight="1" x14ac:dyDescent="0.2">
      <c r="B60" t="s">
        <v>173</v>
      </c>
      <c r="C60" s="12">
        <v>68</v>
      </c>
      <c r="D60" s="8">
        <v>1.47</v>
      </c>
      <c r="E60" s="12">
        <v>24</v>
      </c>
      <c r="F60" s="8">
        <v>1.49</v>
      </c>
      <c r="G60" s="12">
        <v>44</v>
      </c>
      <c r="H60" s="8">
        <v>1.46</v>
      </c>
      <c r="I60" s="12">
        <v>0</v>
      </c>
    </row>
    <row r="61" spans="2:9" ht="15" customHeight="1" x14ac:dyDescent="0.2">
      <c r="B61" t="s">
        <v>154</v>
      </c>
      <c r="C61" s="12">
        <v>66</v>
      </c>
      <c r="D61" s="8">
        <v>1.42</v>
      </c>
      <c r="E61" s="12">
        <v>24</v>
      </c>
      <c r="F61" s="8">
        <v>1.49</v>
      </c>
      <c r="G61" s="12">
        <v>42</v>
      </c>
      <c r="H61" s="8">
        <v>1.39</v>
      </c>
      <c r="I61" s="12">
        <v>0</v>
      </c>
    </row>
    <row r="62" spans="2:9" ht="15" customHeight="1" x14ac:dyDescent="0.2">
      <c r="B62" t="s">
        <v>168</v>
      </c>
      <c r="C62" s="12">
        <v>66</v>
      </c>
      <c r="D62" s="8">
        <v>1.42</v>
      </c>
      <c r="E62" s="12">
        <v>14</v>
      </c>
      <c r="F62" s="8">
        <v>0.87</v>
      </c>
      <c r="G62" s="12">
        <v>52</v>
      </c>
      <c r="H62" s="8">
        <v>1.72</v>
      </c>
      <c r="I62" s="12">
        <v>0</v>
      </c>
    </row>
    <row r="63" spans="2:9" ht="15" customHeight="1" x14ac:dyDescent="0.2">
      <c r="B63" t="s">
        <v>170</v>
      </c>
      <c r="C63" s="12">
        <v>63</v>
      </c>
      <c r="D63" s="8">
        <v>1.36</v>
      </c>
      <c r="E63" s="12">
        <v>61</v>
      </c>
      <c r="F63" s="8">
        <v>3.78</v>
      </c>
      <c r="G63" s="12">
        <v>2</v>
      </c>
      <c r="H63" s="8">
        <v>7.0000000000000007E-2</v>
      </c>
      <c r="I63" s="12">
        <v>0</v>
      </c>
    </row>
    <row r="64" spans="2:9" ht="15" customHeight="1" x14ac:dyDescent="0.2">
      <c r="B64" t="s">
        <v>153</v>
      </c>
      <c r="C64" s="12">
        <v>62</v>
      </c>
      <c r="D64" s="8">
        <v>1.34</v>
      </c>
      <c r="E64" s="12">
        <v>2</v>
      </c>
      <c r="F64" s="8">
        <v>0.12</v>
      </c>
      <c r="G64" s="12">
        <v>60</v>
      </c>
      <c r="H64" s="8">
        <v>1.99</v>
      </c>
      <c r="I64" s="12">
        <v>0</v>
      </c>
    </row>
    <row r="65" spans="2:9" ht="15" customHeight="1" x14ac:dyDescent="0.2">
      <c r="B65" t="s">
        <v>152</v>
      </c>
      <c r="C65" s="12">
        <v>60</v>
      </c>
      <c r="D65" s="8">
        <v>1.29</v>
      </c>
      <c r="E65" s="12">
        <v>3</v>
      </c>
      <c r="F65" s="8">
        <v>0.19</v>
      </c>
      <c r="G65" s="12">
        <v>57</v>
      </c>
      <c r="H65" s="8">
        <v>1.89</v>
      </c>
      <c r="I65" s="12">
        <v>0</v>
      </c>
    </row>
    <row r="66" spans="2:9" ht="15" customHeight="1" x14ac:dyDescent="0.2">
      <c r="B66" t="s">
        <v>171</v>
      </c>
      <c r="C66" s="12">
        <v>58</v>
      </c>
      <c r="D66" s="8">
        <v>1.25</v>
      </c>
      <c r="E66" s="12">
        <v>0</v>
      </c>
      <c r="F66" s="8">
        <v>0</v>
      </c>
      <c r="G66" s="12">
        <v>58</v>
      </c>
      <c r="H66" s="8">
        <v>1.92</v>
      </c>
      <c r="I66" s="12">
        <v>0</v>
      </c>
    </row>
    <row r="67" spans="2:9" ht="15" customHeight="1" x14ac:dyDescent="0.2">
      <c r="B67" t="s">
        <v>169</v>
      </c>
      <c r="C67" s="12">
        <v>58</v>
      </c>
      <c r="D67" s="8">
        <v>1.25</v>
      </c>
      <c r="E67" s="12">
        <v>34</v>
      </c>
      <c r="F67" s="8">
        <v>2.11</v>
      </c>
      <c r="G67" s="12">
        <v>24</v>
      </c>
      <c r="H67" s="8">
        <v>0.8</v>
      </c>
      <c r="I67" s="12">
        <v>0</v>
      </c>
    </row>
    <row r="69" spans="2:9" ht="15" customHeight="1" x14ac:dyDescent="0.2">
      <c r="B69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5D97-C7D2-4F61-88B8-183EA26F639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254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394</v>
      </c>
      <c r="D6" s="8">
        <v>18.920000000000002</v>
      </c>
      <c r="E6" s="12">
        <v>34</v>
      </c>
      <c r="F6" s="8">
        <v>4.58</v>
      </c>
      <c r="G6" s="12">
        <v>360</v>
      </c>
      <c r="H6" s="8">
        <v>26.91</v>
      </c>
      <c r="I6" s="12">
        <v>0</v>
      </c>
    </row>
    <row r="7" spans="2:9" ht="15" customHeight="1" x14ac:dyDescent="0.2">
      <c r="B7" t="s">
        <v>63</v>
      </c>
      <c r="C7" s="12">
        <v>135</v>
      </c>
      <c r="D7" s="8">
        <v>6.48</v>
      </c>
      <c r="E7" s="12">
        <v>18</v>
      </c>
      <c r="F7" s="8">
        <v>2.42</v>
      </c>
      <c r="G7" s="12">
        <v>117</v>
      </c>
      <c r="H7" s="8">
        <v>8.74</v>
      </c>
      <c r="I7" s="12">
        <v>0</v>
      </c>
    </row>
    <row r="8" spans="2:9" ht="15" customHeight="1" x14ac:dyDescent="0.2">
      <c r="B8" t="s">
        <v>64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65</v>
      </c>
      <c r="C9" s="12">
        <v>31</v>
      </c>
      <c r="D9" s="8">
        <v>1.49</v>
      </c>
      <c r="E9" s="12">
        <v>1</v>
      </c>
      <c r="F9" s="8">
        <v>0.13</v>
      </c>
      <c r="G9" s="12">
        <v>30</v>
      </c>
      <c r="H9" s="8">
        <v>2.2400000000000002</v>
      </c>
      <c r="I9" s="12">
        <v>0</v>
      </c>
    </row>
    <row r="10" spans="2:9" ht="15" customHeight="1" x14ac:dyDescent="0.2">
      <c r="B10" t="s">
        <v>66</v>
      </c>
      <c r="C10" s="12">
        <v>28</v>
      </c>
      <c r="D10" s="8">
        <v>1.34</v>
      </c>
      <c r="E10" s="12">
        <v>4</v>
      </c>
      <c r="F10" s="8">
        <v>0.54</v>
      </c>
      <c r="G10" s="12">
        <v>24</v>
      </c>
      <c r="H10" s="8">
        <v>1.79</v>
      </c>
      <c r="I10" s="12">
        <v>0</v>
      </c>
    </row>
    <row r="11" spans="2:9" ht="15" customHeight="1" x14ac:dyDescent="0.2">
      <c r="B11" t="s">
        <v>67</v>
      </c>
      <c r="C11" s="12">
        <v>391</v>
      </c>
      <c r="D11" s="8">
        <v>18.78</v>
      </c>
      <c r="E11" s="12">
        <v>129</v>
      </c>
      <c r="F11" s="8">
        <v>17.36</v>
      </c>
      <c r="G11" s="12">
        <v>261</v>
      </c>
      <c r="H11" s="8">
        <v>19.510000000000002</v>
      </c>
      <c r="I11" s="12">
        <v>1</v>
      </c>
    </row>
    <row r="12" spans="2:9" ht="15" customHeight="1" x14ac:dyDescent="0.2">
      <c r="B12" t="s">
        <v>68</v>
      </c>
      <c r="C12" s="12">
        <v>18</v>
      </c>
      <c r="D12" s="8">
        <v>0.86</v>
      </c>
      <c r="E12" s="12">
        <v>1</v>
      </c>
      <c r="F12" s="8">
        <v>0.13</v>
      </c>
      <c r="G12" s="12">
        <v>17</v>
      </c>
      <c r="H12" s="8">
        <v>1.27</v>
      </c>
      <c r="I12" s="12">
        <v>0</v>
      </c>
    </row>
    <row r="13" spans="2:9" ht="15" customHeight="1" x14ac:dyDescent="0.2">
      <c r="B13" t="s">
        <v>69</v>
      </c>
      <c r="C13" s="12">
        <v>282</v>
      </c>
      <c r="D13" s="8">
        <v>13.54</v>
      </c>
      <c r="E13" s="12">
        <v>85</v>
      </c>
      <c r="F13" s="8">
        <v>11.44</v>
      </c>
      <c r="G13" s="12">
        <v>197</v>
      </c>
      <c r="H13" s="8">
        <v>14.72</v>
      </c>
      <c r="I13" s="12">
        <v>0</v>
      </c>
    </row>
    <row r="14" spans="2:9" ht="15" customHeight="1" x14ac:dyDescent="0.2">
      <c r="B14" t="s">
        <v>70</v>
      </c>
      <c r="C14" s="12">
        <v>101</v>
      </c>
      <c r="D14" s="8">
        <v>4.8499999999999996</v>
      </c>
      <c r="E14" s="12">
        <v>34</v>
      </c>
      <c r="F14" s="8">
        <v>4.58</v>
      </c>
      <c r="G14" s="12">
        <v>67</v>
      </c>
      <c r="H14" s="8">
        <v>5.01</v>
      </c>
      <c r="I14" s="12">
        <v>0</v>
      </c>
    </row>
    <row r="15" spans="2:9" ht="15" customHeight="1" x14ac:dyDescent="0.2">
      <c r="B15" t="s">
        <v>71</v>
      </c>
      <c r="C15" s="12">
        <v>144</v>
      </c>
      <c r="D15" s="8">
        <v>6.92</v>
      </c>
      <c r="E15" s="12">
        <v>104</v>
      </c>
      <c r="F15" s="8">
        <v>14</v>
      </c>
      <c r="G15" s="12">
        <v>40</v>
      </c>
      <c r="H15" s="8">
        <v>2.99</v>
      </c>
      <c r="I15" s="12">
        <v>0</v>
      </c>
    </row>
    <row r="16" spans="2:9" ht="15" customHeight="1" x14ac:dyDescent="0.2">
      <c r="B16" t="s">
        <v>72</v>
      </c>
      <c r="C16" s="12">
        <v>266</v>
      </c>
      <c r="D16" s="8">
        <v>12.78</v>
      </c>
      <c r="E16" s="12">
        <v>190</v>
      </c>
      <c r="F16" s="8">
        <v>25.57</v>
      </c>
      <c r="G16" s="12">
        <v>76</v>
      </c>
      <c r="H16" s="8">
        <v>5.68</v>
      </c>
      <c r="I16" s="12">
        <v>0</v>
      </c>
    </row>
    <row r="17" spans="2:9" ht="15" customHeight="1" x14ac:dyDescent="0.2">
      <c r="B17" t="s">
        <v>73</v>
      </c>
      <c r="C17" s="12">
        <v>66</v>
      </c>
      <c r="D17" s="8">
        <v>3.17</v>
      </c>
      <c r="E17" s="12">
        <v>42</v>
      </c>
      <c r="F17" s="8">
        <v>5.65</v>
      </c>
      <c r="G17" s="12">
        <v>24</v>
      </c>
      <c r="H17" s="8">
        <v>1.79</v>
      </c>
      <c r="I17" s="12">
        <v>0</v>
      </c>
    </row>
    <row r="18" spans="2:9" ht="15" customHeight="1" x14ac:dyDescent="0.2">
      <c r="B18" t="s">
        <v>74</v>
      </c>
      <c r="C18" s="12">
        <v>133</v>
      </c>
      <c r="D18" s="8">
        <v>6.39</v>
      </c>
      <c r="E18" s="12">
        <v>80</v>
      </c>
      <c r="F18" s="8">
        <v>10.77</v>
      </c>
      <c r="G18" s="12">
        <v>53</v>
      </c>
      <c r="H18" s="8">
        <v>3.96</v>
      </c>
      <c r="I18" s="12">
        <v>0</v>
      </c>
    </row>
    <row r="19" spans="2:9" ht="15" customHeight="1" x14ac:dyDescent="0.2">
      <c r="B19" t="s">
        <v>75</v>
      </c>
      <c r="C19" s="12">
        <v>93</v>
      </c>
      <c r="D19" s="8">
        <v>4.47</v>
      </c>
      <c r="E19" s="12">
        <v>21</v>
      </c>
      <c r="F19" s="8">
        <v>2.83</v>
      </c>
      <c r="G19" s="12">
        <v>72</v>
      </c>
      <c r="H19" s="8">
        <v>5.38</v>
      </c>
      <c r="I19" s="12">
        <v>0</v>
      </c>
    </row>
    <row r="20" spans="2:9" ht="15" customHeight="1" x14ac:dyDescent="0.2">
      <c r="B20" s="9" t="s">
        <v>248</v>
      </c>
      <c r="C20" s="12">
        <f>SUM(LTBL_12102[総数／事業所数])</f>
        <v>2082</v>
      </c>
      <c r="E20" s="12">
        <f>SUBTOTAL(109,LTBL_12102[個人／事業所数])</f>
        <v>743</v>
      </c>
      <c r="G20" s="12">
        <f>SUBTOTAL(109,LTBL_12102[法人／事業所数])</f>
        <v>1338</v>
      </c>
      <c r="I20" s="12">
        <f>SUBTOTAL(109,LTBL_12102[法人以外の団体／事業所数])</f>
        <v>1</v>
      </c>
    </row>
    <row r="21" spans="2:9" ht="15" customHeight="1" x14ac:dyDescent="0.2">
      <c r="E21" s="11">
        <f>LTBL_12102[[#Totals],[個人／事業所数]]/LTBL_12102[[#Totals],[総数／事業所数]]</f>
        <v>0.35686839577329493</v>
      </c>
      <c r="G21" s="11">
        <f>LTBL_12102[[#Totals],[法人／事業所数]]/LTBL_12102[[#Totals],[総数／事業所数]]</f>
        <v>0.64265129682997113</v>
      </c>
      <c r="I21" s="11">
        <f>LTBL_12102[[#Totals],[法人以外の団体／事業所数]]/LTBL_12102[[#Totals],[総数／事業所数]]</f>
        <v>4.8030739673390969E-4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94</v>
      </c>
      <c r="C24" s="12">
        <v>235</v>
      </c>
      <c r="D24" s="8">
        <v>11.29</v>
      </c>
      <c r="E24" s="12">
        <v>85</v>
      </c>
      <c r="F24" s="8">
        <v>11.44</v>
      </c>
      <c r="G24" s="12">
        <v>150</v>
      </c>
      <c r="H24" s="8">
        <v>11.21</v>
      </c>
      <c r="I24" s="12">
        <v>0</v>
      </c>
    </row>
    <row r="25" spans="2:9" ht="15" customHeight="1" x14ac:dyDescent="0.2">
      <c r="B25" t="s">
        <v>98</v>
      </c>
      <c r="C25" s="12">
        <v>231</v>
      </c>
      <c r="D25" s="8">
        <v>11.1</v>
      </c>
      <c r="E25" s="12">
        <v>180</v>
      </c>
      <c r="F25" s="8">
        <v>24.23</v>
      </c>
      <c r="G25" s="12">
        <v>51</v>
      </c>
      <c r="H25" s="8">
        <v>3.81</v>
      </c>
      <c r="I25" s="12">
        <v>0</v>
      </c>
    </row>
    <row r="26" spans="2:9" ht="15" customHeight="1" x14ac:dyDescent="0.2">
      <c r="B26" t="s">
        <v>84</v>
      </c>
      <c r="C26" s="12">
        <v>147</v>
      </c>
      <c r="D26" s="8">
        <v>7.06</v>
      </c>
      <c r="E26" s="12">
        <v>7</v>
      </c>
      <c r="F26" s="8">
        <v>0.94</v>
      </c>
      <c r="G26" s="12">
        <v>140</v>
      </c>
      <c r="H26" s="8">
        <v>10.46</v>
      </c>
      <c r="I26" s="12">
        <v>0</v>
      </c>
    </row>
    <row r="27" spans="2:9" ht="15" customHeight="1" x14ac:dyDescent="0.2">
      <c r="B27" t="s">
        <v>85</v>
      </c>
      <c r="C27" s="12">
        <v>133</v>
      </c>
      <c r="D27" s="8">
        <v>6.39</v>
      </c>
      <c r="E27" s="12">
        <v>17</v>
      </c>
      <c r="F27" s="8">
        <v>2.29</v>
      </c>
      <c r="G27" s="12">
        <v>116</v>
      </c>
      <c r="H27" s="8">
        <v>8.67</v>
      </c>
      <c r="I27" s="12">
        <v>0</v>
      </c>
    </row>
    <row r="28" spans="2:9" ht="15" customHeight="1" x14ac:dyDescent="0.2">
      <c r="B28" t="s">
        <v>97</v>
      </c>
      <c r="C28" s="12">
        <v>130</v>
      </c>
      <c r="D28" s="8">
        <v>6.24</v>
      </c>
      <c r="E28" s="12">
        <v>102</v>
      </c>
      <c r="F28" s="8">
        <v>13.73</v>
      </c>
      <c r="G28" s="12">
        <v>28</v>
      </c>
      <c r="H28" s="8">
        <v>2.09</v>
      </c>
      <c r="I28" s="12">
        <v>0</v>
      </c>
    </row>
    <row r="29" spans="2:9" ht="15" customHeight="1" x14ac:dyDescent="0.2">
      <c r="B29" t="s">
        <v>86</v>
      </c>
      <c r="C29" s="12">
        <v>114</v>
      </c>
      <c r="D29" s="8">
        <v>5.48</v>
      </c>
      <c r="E29" s="12">
        <v>10</v>
      </c>
      <c r="F29" s="8">
        <v>1.35</v>
      </c>
      <c r="G29" s="12">
        <v>104</v>
      </c>
      <c r="H29" s="8">
        <v>7.77</v>
      </c>
      <c r="I29" s="12">
        <v>0</v>
      </c>
    </row>
    <row r="30" spans="2:9" ht="15" customHeight="1" x14ac:dyDescent="0.2">
      <c r="B30" t="s">
        <v>92</v>
      </c>
      <c r="C30" s="12">
        <v>95</v>
      </c>
      <c r="D30" s="8">
        <v>4.5599999999999996</v>
      </c>
      <c r="E30" s="12">
        <v>49</v>
      </c>
      <c r="F30" s="8">
        <v>6.59</v>
      </c>
      <c r="G30" s="12">
        <v>45</v>
      </c>
      <c r="H30" s="8">
        <v>3.36</v>
      </c>
      <c r="I30" s="12">
        <v>1</v>
      </c>
    </row>
    <row r="31" spans="2:9" ht="15" customHeight="1" x14ac:dyDescent="0.2">
      <c r="B31" t="s">
        <v>101</v>
      </c>
      <c r="C31" s="12">
        <v>90</v>
      </c>
      <c r="D31" s="8">
        <v>4.32</v>
      </c>
      <c r="E31" s="12">
        <v>78</v>
      </c>
      <c r="F31" s="8">
        <v>10.5</v>
      </c>
      <c r="G31" s="12">
        <v>12</v>
      </c>
      <c r="H31" s="8">
        <v>0.9</v>
      </c>
      <c r="I31" s="12">
        <v>0</v>
      </c>
    </row>
    <row r="32" spans="2:9" ht="15" customHeight="1" x14ac:dyDescent="0.2">
      <c r="B32" t="s">
        <v>90</v>
      </c>
      <c r="C32" s="12">
        <v>75</v>
      </c>
      <c r="D32" s="8">
        <v>3.6</v>
      </c>
      <c r="E32" s="12">
        <v>46</v>
      </c>
      <c r="F32" s="8">
        <v>6.19</v>
      </c>
      <c r="G32" s="12">
        <v>29</v>
      </c>
      <c r="H32" s="8">
        <v>2.17</v>
      </c>
      <c r="I32" s="12">
        <v>0</v>
      </c>
    </row>
    <row r="33" spans="2:9" ht="15" customHeight="1" x14ac:dyDescent="0.2">
      <c r="B33" t="s">
        <v>100</v>
      </c>
      <c r="C33" s="12">
        <v>66</v>
      </c>
      <c r="D33" s="8">
        <v>3.17</v>
      </c>
      <c r="E33" s="12">
        <v>42</v>
      </c>
      <c r="F33" s="8">
        <v>5.65</v>
      </c>
      <c r="G33" s="12">
        <v>24</v>
      </c>
      <c r="H33" s="8">
        <v>1.79</v>
      </c>
      <c r="I33" s="12">
        <v>0</v>
      </c>
    </row>
    <row r="34" spans="2:9" ht="15" customHeight="1" x14ac:dyDescent="0.2">
      <c r="B34" t="s">
        <v>91</v>
      </c>
      <c r="C34" s="12">
        <v>62</v>
      </c>
      <c r="D34" s="8">
        <v>2.98</v>
      </c>
      <c r="E34" s="12">
        <v>15</v>
      </c>
      <c r="F34" s="8">
        <v>2.02</v>
      </c>
      <c r="G34" s="12">
        <v>47</v>
      </c>
      <c r="H34" s="8">
        <v>3.51</v>
      </c>
      <c r="I34" s="12">
        <v>0</v>
      </c>
    </row>
    <row r="35" spans="2:9" ht="15" customHeight="1" x14ac:dyDescent="0.2">
      <c r="B35" t="s">
        <v>95</v>
      </c>
      <c r="C35" s="12">
        <v>57</v>
      </c>
      <c r="D35" s="8">
        <v>2.74</v>
      </c>
      <c r="E35" s="12">
        <v>24</v>
      </c>
      <c r="F35" s="8">
        <v>3.23</v>
      </c>
      <c r="G35" s="12">
        <v>33</v>
      </c>
      <c r="H35" s="8">
        <v>2.4700000000000002</v>
      </c>
      <c r="I35" s="12">
        <v>0</v>
      </c>
    </row>
    <row r="36" spans="2:9" ht="15" customHeight="1" x14ac:dyDescent="0.2">
      <c r="B36" t="s">
        <v>96</v>
      </c>
      <c r="C36" s="12">
        <v>43</v>
      </c>
      <c r="D36" s="8">
        <v>2.0699999999999998</v>
      </c>
      <c r="E36" s="12">
        <v>10</v>
      </c>
      <c r="F36" s="8">
        <v>1.35</v>
      </c>
      <c r="G36" s="12">
        <v>33</v>
      </c>
      <c r="H36" s="8">
        <v>2.4700000000000002</v>
      </c>
      <c r="I36" s="12">
        <v>0</v>
      </c>
    </row>
    <row r="37" spans="2:9" ht="15" customHeight="1" x14ac:dyDescent="0.2">
      <c r="B37" t="s">
        <v>102</v>
      </c>
      <c r="C37" s="12">
        <v>43</v>
      </c>
      <c r="D37" s="8">
        <v>2.0699999999999998</v>
      </c>
      <c r="E37" s="12">
        <v>2</v>
      </c>
      <c r="F37" s="8">
        <v>0.27</v>
      </c>
      <c r="G37" s="12">
        <v>41</v>
      </c>
      <c r="H37" s="8">
        <v>3.06</v>
      </c>
      <c r="I37" s="12">
        <v>0</v>
      </c>
    </row>
    <row r="38" spans="2:9" ht="15" customHeight="1" x14ac:dyDescent="0.2">
      <c r="B38" t="s">
        <v>88</v>
      </c>
      <c r="C38" s="12">
        <v>38</v>
      </c>
      <c r="D38" s="8">
        <v>1.83</v>
      </c>
      <c r="E38" s="12">
        <v>1</v>
      </c>
      <c r="F38" s="8">
        <v>0.13</v>
      </c>
      <c r="G38" s="12">
        <v>37</v>
      </c>
      <c r="H38" s="8">
        <v>2.77</v>
      </c>
      <c r="I38" s="12">
        <v>0</v>
      </c>
    </row>
    <row r="39" spans="2:9" ht="15" customHeight="1" x14ac:dyDescent="0.2">
      <c r="B39" t="s">
        <v>93</v>
      </c>
      <c r="C39" s="12">
        <v>38</v>
      </c>
      <c r="D39" s="8">
        <v>1.83</v>
      </c>
      <c r="E39" s="12">
        <v>0</v>
      </c>
      <c r="F39" s="8">
        <v>0</v>
      </c>
      <c r="G39" s="12">
        <v>38</v>
      </c>
      <c r="H39" s="8">
        <v>2.84</v>
      </c>
      <c r="I39" s="12">
        <v>0</v>
      </c>
    </row>
    <row r="40" spans="2:9" ht="15" customHeight="1" x14ac:dyDescent="0.2">
      <c r="B40" t="s">
        <v>103</v>
      </c>
      <c r="C40" s="12">
        <v>38</v>
      </c>
      <c r="D40" s="8">
        <v>1.83</v>
      </c>
      <c r="E40" s="12">
        <v>14</v>
      </c>
      <c r="F40" s="8">
        <v>1.88</v>
      </c>
      <c r="G40" s="12">
        <v>24</v>
      </c>
      <c r="H40" s="8">
        <v>1.79</v>
      </c>
      <c r="I40" s="12">
        <v>0</v>
      </c>
    </row>
    <row r="41" spans="2:9" ht="15" customHeight="1" x14ac:dyDescent="0.2">
      <c r="B41" t="s">
        <v>106</v>
      </c>
      <c r="C41" s="12">
        <v>32</v>
      </c>
      <c r="D41" s="8">
        <v>1.54</v>
      </c>
      <c r="E41" s="12">
        <v>2</v>
      </c>
      <c r="F41" s="8">
        <v>0.27</v>
      </c>
      <c r="G41" s="12">
        <v>30</v>
      </c>
      <c r="H41" s="8">
        <v>2.2400000000000002</v>
      </c>
      <c r="I41" s="12">
        <v>0</v>
      </c>
    </row>
    <row r="42" spans="2:9" ht="15" customHeight="1" x14ac:dyDescent="0.2">
      <c r="B42" t="s">
        <v>105</v>
      </c>
      <c r="C42" s="12">
        <v>32</v>
      </c>
      <c r="D42" s="8">
        <v>1.54</v>
      </c>
      <c r="E42" s="12">
        <v>2</v>
      </c>
      <c r="F42" s="8">
        <v>0.27</v>
      </c>
      <c r="G42" s="12">
        <v>30</v>
      </c>
      <c r="H42" s="8">
        <v>2.2400000000000002</v>
      </c>
      <c r="I42" s="12">
        <v>0</v>
      </c>
    </row>
    <row r="43" spans="2:9" ht="15" customHeight="1" x14ac:dyDescent="0.2">
      <c r="B43" t="s">
        <v>87</v>
      </c>
      <c r="C43" s="12">
        <v>31</v>
      </c>
      <c r="D43" s="8">
        <v>1.49</v>
      </c>
      <c r="E43" s="12">
        <v>3</v>
      </c>
      <c r="F43" s="8">
        <v>0.4</v>
      </c>
      <c r="G43" s="12">
        <v>28</v>
      </c>
      <c r="H43" s="8">
        <v>2.09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158</v>
      </c>
      <c r="C47" s="12">
        <v>151</v>
      </c>
      <c r="D47" s="8">
        <v>7.25</v>
      </c>
      <c r="E47" s="12">
        <v>71</v>
      </c>
      <c r="F47" s="8">
        <v>9.56</v>
      </c>
      <c r="G47" s="12">
        <v>80</v>
      </c>
      <c r="H47" s="8">
        <v>5.98</v>
      </c>
      <c r="I47" s="12">
        <v>0</v>
      </c>
    </row>
    <row r="48" spans="2:9" ht="15" customHeight="1" x14ac:dyDescent="0.2">
      <c r="B48" t="s">
        <v>164</v>
      </c>
      <c r="C48" s="12">
        <v>104</v>
      </c>
      <c r="D48" s="8">
        <v>5</v>
      </c>
      <c r="E48" s="12">
        <v>85</v>
      </c>
      <c r="F48" s="8">
        <v>11.44</v>
      </c>
      <c r="G48" s="12">
        <v>19</v>
      </c>
      <c r="H48" s="8">
        <v>1.42</v>
      </c>
      <c r="I48" s="12">
        <v>0</v>
      </c>
    </row>
    <row r="49" spans="2:9" ht="15" customHeight="1" x14ac:dyDescent="0.2">
      <c r="B49" t="s">
        <v>163</v>
      </c>
      <c r="C49" s="12">
        <v>78</v>
      </c>
      <c r="D49" s="8">
        <v>3.75</v>
      </c>
      <c r="E49" s="12">
        <v>68</v>
      </c>
      <c r="F49" s="8">
        <v>9.15</v>
      </c>
      <c r="G49" s="12">
        <v>10</v>
      </c>
      <c r="H49" s="8">
        <v>0.75</v>
      </c>
      <c r="I49" s="12">
        <v>0</v>
      </c>
    </row>
    <row r="50" spans="2:9" ht="15" customHeight="1" x14ac:dyDescent="0.2">
      <c r="B50" t="s">
        <v>153</v>
      </c>
      <c r="C50" s="12">
        <v>49</v>
      </c>
      <c r="D50" s="8">
        <v>2.35</v>
      </c>
      <c r="E50" s="12">
        <v>2</v>
      </c>
      <c r="F50" s="8">
        <v>0.27</v>
      </c>
      <c r="G50" s="12">
        <v>47</v>
      </c>
      <c r="H50" s="8">
        <v>3.51</v>
      </c>
      <c r="I50" s="12">
        <v>0</v>
      </c>
    </row>
    <row r="51" spans="2:9" ht="15" customHeight="1" x14ac:dyDescent="0.2">
      <c r="B51" t="s">
        <v>155</v>
      </c>
      <c r="C51" s="12">
        <v>47</v>
      </c>
      <c r="D51" s="8">
        <v>2.2599999999999998</v>
      </c>
      <c r="E51" s="12">
        <v>6</v>
      </c>
      <c r="F51" s="8">
        <v>0.81</v>
      </c>
      <c r="G51" s="12">
        <v>41</v>
      </c>
      <c r="H51" s="8">
        <v>3.06</v>
      </c>
      <c r="I51" s="12">
        <v>0</v>
      </c>
    </row>
    <row r="52" spans="2:9" ht="15" customHeight="1" x14ac:dyDescent="0.2">
      <c r="B52" t="s">
        <v>166</v>
      </c>
      <c r="C52" s="12">
        <v>46</v>
      </c>
      <c r="D52" s="8">
        <v>2.21</v>
      </c>
      <c r="E52" s="12">
        <v>38</v>
      </c>
      <c r="F52" s="8">
        <v>5.1100000000000003</v>
      </c>
      <c r="G52" s="12">
        <v>8</v>
      </c>
      <c r="H52" s="8">
        <v>0.6</v>
      </c>
      <c r="I52" s="12">
        <v>0</v>
      </c>
    </row>
    <row r="53" spans="2:9" ht="15" customHeight="1" x14ac:dyDescent="0.2">
      <c r="B53" t="s">
        <v>151</v>
      </c>
      <c r="C53" s="12">
        <v>44</v>
      </c>
      <c r="D53" s="8">
        <v>2.11</v>
      </c>
      <c r="E53" s="12">
        <v>1</v>
      </c>
      <c r="F53" s="8">
        <v>0.13</v>
      </c>
      <c r="G53" s="12">
        <v>43</v>
      </c>
      <c r="H53" s="8">
        <v>3.21</v>
      </c>
      <c r="I53" s="12">
        <v>0</v>
      </c>
    </row>
    <row r="54" spans="2:9" ht="15" customHeight="1" x14ac:dyDescent="0.2">
      <c r="B54" t="s">
        <v>157</v>
      </c>
      <c r="C54" s="12">
        <v>44</v>
      </c>
      <c r="D54" s="8">
        <v>2.11</v>
      </c>
      <c r="E54" s="12">
        <v>11</v>
      </c>
      <c r="F54" s="8">
        <v>1.48</v>
      </c>
      <c r="G54" s="12">
        <v>33</v>
      </c>
      <c r="H54" s="8">
        <v>2.4700000000000002</v>
      </c>
      <c r="I54" s="12">
        <v>0</v>
      </c>
    </row>
    <row r="55" spans="2:9" ht="15" customHeight="1" x14ac:dyDescent="0.2">
      <c r="B55" t="s">
        <v>165</v>
      </c>
      <c r="C55" s="12">
        <v>42</v>
      </c>
      <c r="D55" s="8">
        <v>2.02</v>
      </c>
      <c r="E55" s="12">
        <v>28</v>
      </c>
      <c r="F55" s="8">
        <v>3.77</v>
      </c>
      <c r="G55" s="12">
        <v>14</v>
      </c>
      <c r="H55" s="8">
        <v>1.05</v>
      </c>
      <c r="I55" s="12">
        <v>0</v>
      </c>
    </row>
    <row r="56" spans="2:9" ht="15" customHeight="1" x14ac:dyDescent="0.2">
      <c r="B56" t="s">
        <v>152</v>
      </c>
      <c r="C56" s="12">
        <v>40</v>
      </c>
      <c r="D56" s="8">
        <v>1.92</v>
      </c>
      <c r="E56" s="12">
        <v>8</v>
      </c>
      <c r="F56" s="8">
        <v>1.08</v>
      </c>
      <c r="G56" s="12">
        <v>32</v>
      </c>
      <c r="H56" s="8">
        <v>2.39</v>
      </c>
      <c r="I56" s="12">
        <v>0</v>
      </c>
    </row>
    <row r="57" spans="2:9" ht="15" customHeight="1" x14ac:dyDescent="0.2">
      <c r="B57" t="s">
        <v>170</v>
      </c>
      <c r="C57" s="12">
        <v>40</v>
      </c>
      <c r="D57" s="8">
        <v>1.92</v>
      </c>
      <c r="E57" s="12">
        <v>36</v>
      </c>
      <c r="F57" s="8">
        <v>4.8499999999999996</v>
      </c>
      <c r="G57" s="12">
        <v>4</v>
      </c>
      <c r="H57" s="8">
        <v>0.3</v>
      </c>
      <c r="I57" s="12">
        <v>0</v>
      </c>
    </row>
    <row r="58" spans="2:9" ht="15" customHeight="1" x14ac:dyDescent="0.2">
      <c r="B58" t="s">
        <v>169</v>
      </c>
      <c r="C58" s="12">
        <v>39</v>
      </c>
      <c r="D58" s="8">
        <v>1.87</v>
      </c>
      <c r="E58" s="12">
        <v>22</v>
      </c>
      <c r="F58" s="8">
        <v>2.96</v>
      </c>
      <c r="G58" s="12">
        <v>17</v>
      </c>
      <c r="H58" s="8">
        <v>1.27</v>
      </c>
      <c r="I58" s="12">
        <v>0</v>
      </c>
    </row>
    <row r="59" spans="2:9" ht="15" customHeight="1" x14ac:dyDescent="0.2">
      <c r="B59" t="s">
        <v>149</v>
      </c>
      <c r="C59" s="12">
        <v>38</v>
      </c>
      <c r="D59" s="8">
        <v>1.83</v>
      </c>
      <c r="E59" s="12">
        <v>1</v>
      </c>
      <c r="F59" s="8">
        <v>0.13</v>
      </c>
      <c r="G59" s="12">
        <v>37</v>
      </c>
      <c r="H59" s="8">
        <v>2.77</v>
      </c>
      <c r="I59" s="12">
        <v>0</v>
      </c>
    </row>
    <row r="60" spans="2:9" ht="15" customHeight="1" x14ac:dyDescent="0.2">
      <c r="B60" t="s">
        <v>167</v>
      </c>
      <c r="C60" s="12">
        <v>38</v>
      </c>
      <c r="D60" s="8">
        <v>1.83</v>
      </c>
      <c r="E60" s="12">
        <v>14</v>
      </c>
      <c r="F60" s="8">
        <v>1.88</v>
      </c>
      <c r="G60" s="12">
        <v>24</v>
      </c>
      <c r="H60" s="8">
        <v>1.79</v>
      </c>
      <c r="I60" s="12">
        <v>0</v>
      </c>
    </row>
    <row r="61" spans="2:9" ht="15" customHeight="1" x14ac:dyDescent="0.2">
      <c r="B61" t="s">
        <v>161</v>
      </c>
      <c r="C61" s="12">
        <v>37</v>
      </c>
      <c r="D61" s="8">
        <v>1.78</v>
      </c>
      <c r="E61" s="12">
        <v>26</v>
      </c>
      <c r="F61" s="8">
        <v>3.5</v>
      </c>
      <c r="G61" s="12">
        <v>11</v>
      </c>
      <c r="H61" s="8">
        <v>0.82</v>
      </c>
      <c r="I61" s="12">
        <v>0</v>
      </c>
    </row>
    <row r="62" spans="2:9" ht="15" customHeight="1" x14ac:dyDescent="0.2">
      <c r="B62" t="s">
        <v>162</v>
      </c>
      <c r="C62" s="12">
        <v>35</v>
      </c>
      <c r="D62" s="8">
        <v>1.68</v>
      </c>
      <c r="E62" s="12">
        <v>32</v>
      </c>
      <c r="F62" s="8">
        <v>4.3099999999999996</v>
      </c>
      <c r="G62" s="12">
        <v>3</v>
      </c>
      <c r="H62" s="8">
        <v>0.22</v>
      </c>
      <c r="I62" s="12">
        <v>0</v>
      </c>
    </row>
    <row r="63" spans="2:9" ht="15" customHeight="1" x14ac:dyDescent="0.2">
      <c r="B63" t="s">
        <v>154</v>
      </c>
      <c r="C63" s="12">
        <v>33</v>
      </c>
      <c r="D63" s="8">
        <v>1.59</v>
      </c>
      <c r="E63" s="12">
        <v>21</v>
      </c>
      <c r="F63" s="8">
        <v>2.83</v>
      </c>
      <c r="G63" s="12">
        <v>12</v>
      </c>
      <c r="H63" s="8">
        <v>0.9</v>
      </c>
      <c r="I63" s="12">
        <v>0</v>
      </c>
    </row>
    <row r="64" spans="2:9" ht="15" customHeight="1" x14ac:dyDescent="0.2">
      <c r="B64" t="s">
        <v>174</v>
      </c>
      <c r="C64" s="12">
        <v>32</v>
      </c>
      <c r="D64" s="8">
        <v>1.54</v>
      </c>
      <c r="E64" s="12">
        <v>5</v>
      </c>
      <c r="F64" s="8">
        <v>0.67</v>
      </c>
      <c r="G64" s="12">
        <v>27</v>
      </c>
      <c r="H64" s="8">
        <v>2.02</v>
      </c>
      <c r="I64" s="12">
        <v>0</v>
      </c>
    </row>
    <row r="65" spans="2:9" ht="15" customHeight="1" x14ac:dyDescent="0.2">
      <c r="B65" t="s">
        <v>171</v>
      </c>
      <c r="C65" s="12">
        <v>31</v>
      </c>
      <c r="D65" s="8">
        <v>1.49</v>
      </c>
      <c r="E65" s="12">
        <v>0</v>
      </c>
      <c r="F65" s="8">
        <v>0</v>
      </c>
      <c r="G65" s="12">
        <v>31</v>
      </c>
      <c r="H65" s="8">
        <v>2.3199999999999998</v>
      </c>
      <c r="I65" s="12">
        <v>0</v>
      </c>
    </row>
    <row r="66" spans="2:9" ht="15" customHeight="1" x14ac:dyDescent="0.2">
      <c r="B66" t="s">
        <v>159</v>
      </c>
      <c r="C66" s="12">
        <v>31</v>
      </c>
      <c r="D66" s="8">
        <v>1.49</v>
      </c>
      <c r="E66" s="12">
        <v>0</v>
      </c>
      <c r="F66" s="8">
        <v>0</v>
      </c>
      <c r="G66" s="12">
        <v>31</v>
      </c>
      <c r="H66" s="8">
        <v>2.3199999999999998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41281-8039-49E6-832B-8A22FAABC25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255</v>
      </c>
    </row>
    <row r="4" spans="2:9" ht="33" customHeight="1" x14ac:dyDescent="0.2">
      <c r="B4" t="s">
        <v>247</v>
      </c>
      <c r="C4" s="10" t="s">
        <v>77</v>
      </c>
      <c r="D4" s="10" t="s">
        <v>78</v>
      </c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</row>
    <row r="5" spans="2:9" ht="15" customHeight="1" x14ac:dyDescent="0.2">
      <c r="B5" t="s">
        <v>61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62</v>
      </c>
      <c r="C6" s="12">
        <v>312</v>
      </c>
      <c r="D6" s="8">
        <v>15.28</v>
      </c>
      <c r="E6" s="12">
        <v>18</v>
      </c>
      <c r="F6" s="8">
        <v>2.5499999999999998</v>
      </c>
      <c r="G6" s="12">
        <v>294</v>
      </c>
      <c r="H6" s="8">
        <v>22.01</v>
      </c>
      <c r="I6" s="12">
        <v>0</v>
      </c>
    </row>
    <row r="7" spans="2:9" ht="15" customHeight="1" x14ac:dyDescent="0.2">
      <c r="B7" t="s">
        <v>63</v>
      </c>
      <c r="C7" s="12">
        <v>96</v>
      </c>
      <c r="D7" s="8">
        <v>4.7</v>
      </c>
      <c r="E7" s="12">
        <v>12</v>
      </c>
      <c r="F7" s="8">
        <v>1.7</v>
      </c>
      <c r="G7" s="12">
        <v>84</v>
      </c>
      <c r="H7" s="8">
        <v>6.29</v>
      </c>
      <c r="I7" s="12">
        <v>0</v>
      </c>
    </row>
    <row r="8" spans="2:9" ht="15" customHeight="1" x14ac:dyDescent="0.2">
      <c r="B8" t="s">
        <v>64</v>
      </c>
      <c r="C8" s="12">
        <v>3</v>
      </c>
      <c r="D8" s="8">
        <v>0.15</v>
      </c>
      <c r="E8" s="12">
        <v>0</v>
      </c>
      <c r="F8" s="8">
        <v>0</v>
      </c>
      <c r="G8" s="12">
        <v>3</v>
      </c>
      <c r="H8" s="8">
        <v>0.22</v>
      </c>
      <c r="I8" s="12">
        <v>0</v>
      </c>
    </row>
    <row r="9" spans="2:9" ht="15" customHeight="1" x14ac:dyDescent="0.2">
      <c r="B9" t="s">
        <v>65</v>
      </c>
      <c r="C9" s="12">
        <v>29</v>
      </c>
      <c r="D9" s="8">
        <v>1.42</v>
      </c>
      <c r="E9" s="12">
        <v>1</v>
      </c>
      <c r="F9" s="8">
        <v>0.14000000000000001</v>
      </c>
      <c r="G9" s="12">
        <v>28</v>
      </c>
      <c r="H9" s="8">
        <v>2.1</v>
      </c>
      <c r="I9" s="12">
        <v>0</v>
      </c>
    </row>
    <row r="10" spans="2:9" ht="15" customHeight="1" x14ac:dyDescent="0.2">
      <c r="B10" t="s">
        <v>66</v>
      </c>
      <c r="C10" s="12">
        <v>28</v>
      </c>
      <c r="D10" s="8">
        <v>1.37</v>
      </c>
      <c r="E10" s="12">
        <v>4</v>
      </c>
      <c r="F10" s="8">
        <v>0.56999999999999995</v>
      </c>
      <c r="G10" s="12">
        <v>24</v>
      </c>
      <c r="H10" s="8">
        <v>1.8</v>
      </c>
      <c r="I10" s="12">
        <v>0</v>
      </c>
    </row>
    <row r="11" spans="2:9" ht="15" customHeight="1" x14ac:dyDescent="0.2">
      <c r="B11" t="s">
        <v>67</v>
      </c>
      <c r="C11" s="12">
        <v>408</v>
      </c>
      <c r="D11" s="8">
        <v>19.98</v>
      </c>
      <c r="E11" s="12">
        <v>108</v>
      </c>
      <c r="F11" s="8">
        <v>15.3</v>
      </c>
      <c r="G11" s="12">
        <v>300</v>
      </c>
      <c r="H11" s="8">
        <v>22.46</v>
      </c>
      <c r="I11" s="12">
        <v>0</v>
      </c>
    </row>
    <row r="12" spans="2:9" ht="15" customHeight="1" x14ac:dyDescent="0.2">
      <c r="B12" t="s">
        <v>68</v>
      </c>
      <c r="C12" s="12">
        <v>10</v>
      </c>
      <c r="D12" s="8">
        <v>0.49</v>
      </c>
      <c r="E12" s="12">
        <v>1</v>
      </c>
      <c r="F12" s="8">
        <v>0.14000000000000001</v>
      </c>
      <c r="G12" s="12">
        <v>9</v>
      </c>
      <c r="H12" s="8">
        <v>0.67</v>
      </c>
      <c r="I12" s="12">
        <v>0</v>
      </c>
    </row>
    <row r="13" spans="2:9" ht="15" customHeight="1" x14ac:dyDescent="0.2">
      <c r="B13" t="s">
        <v>69</v>
      </c>
      <c r="C13" s="12">
        <v>316</v>
      </c>
      <c r="D13" s="8">
        <v>15.48</v>
      </c>
      <c r="E13" s="12">
        <v>100</v>
      </c>
      <c r="F13" s="8">
        <v>14.16</v>
      </c>
      <c r="G13" s="12">
        <v>216</v>
      </c>
      <c r="H13" s="8">
        <v>16.170000000000002</v>
      </c>
      <c r="I13" s="12">
        <v>0</v>
      </c>
    </row>
    <row r="14" spans="2:9" ht="15" customHeight="1" x14ac:dyDescent="0.2">
      <c r="B14" t="s">
        <v>70</v>
      </c>
      <c r="C14" s="12">
        <v>137</v>
      </c>
      <c r="D14" s="8">
        <v>6.71</v>
      </c>
      <c r="E14" s="12">
        <v>37</v>
      </c>
      <c r="F14" s="8">
        <v>5.24</v>
      </c>
      <c r="G14" s="12">
        <v>100</v>
      </c>
      <c r="H14" s="8">
        <v>7.49</v>
      </c>
      <c r="I14" s="12">
        <v>0</v>
      </c>
    </row>
    <row r="15" spans="2:9" ht="15" customHeight="1" x14ac:dyDescent="0.2">
      <c r="B15" t="s">
        <v>71</v>
      </c>
      <c r="C15" s="12">
        <v>171</v>
      </c>
      <c r="D15" s="8">
        <v>8.3699999999999992</v>
      </c>
      <c r="E15" s="12">
        <v>115</v>
      </c>
      <c r="F15" s="8">
        <v>16.29</v>
      </c>
      <c r="G15" s="12">
        <v>56</v>
      </c>
      <c r="H15" s="8">
        <v>4.1900000000000004</v>
      </c>
      <c r="I15" s="12">
        <v>0</v>
      </c>
    </row>
    <row r="16" spans="2:9" ht="15" customHeight="1" x14ac:dyDescent="0.2">
      <c r="B16" t="s">
        <v>72</v>
      </c>
      <c r="C16" s="12">
        <v>246</v>
      </c>
      <c r="D16" s="8">
        <v>12.05</v>
      </c>
      <c r="E16" s="12">
        <v>166</v>
      </c>
      <c r="F16" s="8">
        <v>23.51</v>
      </c>
      <c r="G16" s="12">
        <v>80</v>
      </c>
      <c r="H16" s="8">
        <v>5.99</v>
      </c>
      <c r="I16" s="12">
        <v>0</v>
      </c>
    </row>
    <row r="17" spans="2:9" ht="15" customHeight="1" x14ac:dyDescent="0.2">
      <c r="B17" t="s">
        <v>73</v>
      </c>
      <c r="C17" s="12">
        <v>70</v>
      </c>
      <c r="D17" s="8">
        <v>3.43</v>
      </c>
      <c r="E17" s="12">
        <v>41</v>
      </c>
      <c r="F17" s="8">
        <v>5.81</v>
      </c>
      <c r="G17" s="12">
        <v>29</v>
      </c>
      <c r="H17" s="8">
        <v>2.17</v>
      </c>
      <c r="I17" s="12">
        <v>0</v>
      </c>
    </row>
    <row r="18" spans="2:9" ht="15" customHeight="1" x14ac:dyDescent="0.2">
      <c r="B18" t="s">
        <v>74</v>
      </c>
      <c r="C18" s="12">
        <v>139</v>
      </c>
      <c r="D18" s="8">
        <v>6.81</v>
      </c>
      <c r="E18" s="12">
        <v>93</v>
      </c>
      <c r="F18" s="8">
        <v>13.17</v>
      </c>
      <c r="G18" s="12">
        <v>46</v>
      </c>
      <c r="H18" s="8">
        <v>3.44</v>
      </c>
      <c r="I18" s="12">
        <v>0</v>
      </c>
    </row>
    <row r="19" spans="2:9" ht="15" customHeight="1" x14ac:dyDescent="0.2">
      <c r="B19" t="s">
        <v>75</v>
      </c>
      <c r="C19" s="12">
        <v>77</v>
      </c>
      <c r="D19" s="8">
        <v>3.77</v>
      </c>
      <c r="E19" s="12">
        <v>10</v>
      </c>
      <c r="F19" s="8">
        <v>1.42</v>
      </c>
      <c r="G19" s="12">
        <v>67</v>
      </c>
      <c r="H19" s="8">
        <v>5.01</v>
      </c>
      <c r="I19" s="12">
        <v>0</v>
      </c>
    </row>
    <row r="20" spans="2:9" ht="15" customHeight="1" x14ac:dyDescent="0.2">
      <c r="B20" s="9" t="s">
        <v>248</v>
      </c>
      <c r="C20" s="12">
        <f>SUM(LTBL_12103[総数／事業所数])</f>
        <v>2042</v>
      </c>
      <c r="E20" s="12">
        <f>SUBTOTAL(109,LTBL_12103[個人／事業所数])</f>
        <v>706</v>
      </c>
      <c r="G20" s="12">
        <f>SUBTOTAL(109,LTBL_12103[法人／事業所数])</f>
        <v>1336</v>
      </c>
      <c r="I20" s="12">
        <f>SUBTOTAL(109,LTBL_12103[法人以外の団体／事業所数])</f>
        <v>0</v>
      </c>
    </row>
    <row r="21" spans="2:9" ht="15" customHeight="1" x14ac:dyDescent="0.2">
      <c r="E21" s="11">
        <f>LTBL_12103[[#Totals],[個人／事業所数]]/LTBL_12103[[#Totals],[総数／事業所数]]</f>
        <v>0.34573947110675807</v>
      </c>
      <c r="G21" s="11">
        <f>LTBL_12103[[#Totals],[法人／事業所数]]/LTBL_12103[[#Totals],[総数／事業所数]]</f>
        <v>0.65426052889324193</v>
      </c>
      <c r="I21" s="11">
        <f>LTBL_12103[[#Totals],[法人以外の団体／事業所数]]/LTBL_12103[[#Totals],[総数／事業所数]]</f>
        <v>0</v>
      </c>
    </row>
    <row r="23" spans="2:9" ht="33" customHeight="1" x14ac:dyDescent="0.2">
      <c r="B23" t="s">
        <v>249</v>
      </c>
      <c r="C23" s="10" t="s">
        <v>77</v>
      </c>
      <c r="D23" s="10" t="s">
        <v>78</v>
      </c>
      <c r="E23" s="10" t="s">
        <v>79</v>
      </c>
      <c r="F23" s="10" t="s">
        <v>80</v>
      </c>
      <c r="G23" s="10" t="s">
        <v>81</v>
      </c>
      <c r="H23" s="10" t="s">
        <v>82</v>
      </c>
      <c r="I23" s="10" t="s">
        <v>83</v>
      </c>
    </row>
    <row r="24" spans="2:9" ht="15" customHeight="1" x14ac:dyDescent="0.2">
      <c r="B24" t="s">
        <v>94</v>
      </c>
      <c r="C24" s="12">
        <v>266</v>
      </c>
      <c r="D24" s="8">
        <v>13.03</v>
      </c>
      <c r="E24" s="12">
        <v>96</v>
      </c>
      <c r="F24" s="8">
        <v>13.6</v>
      </c>
      <c r="G24" s="12">
        <v>170</v>
      </c>
      <c r="H24" s="8">
        <v>12.72</v>
      </c>
      <c r="I24" s="12">
        <v>0</v>
      </c>
    </row>
    <row r="25" spans="2:9" ht="15" customHeight="1" x14ac:dyDescent="0.2">
      <c r="B25" t="s">
        <v>98</v>
      </c>
      <c r="C25" s="12">
        <v>215</v>
      </c>
      <c r="D25" s="8">
        <v>10.53</v>
      </c>
      <c r="E25" s="12">
        <v>154</v>
      </c>
      <c r="F25" s="8">
        <v>21.81</v>
      </c>
      <c r="G25" s="12">
        <v>61</v>
      </c>
      <c r="H25" s="8">
        <v>4.57</v>
      </c>
      <c r="I25" s="12">
        <v>0</v>
      </c>
    </row>
    <row r="26" spans="2:9" ht="15" customHeight="1" x14ac:dyDescent="0.2">
      <c r="B26" t="s">
        <v>97</v>
      </c>
      <c r="C26" s="12">
        <v>148</v>
      </c>
      <c r="D26" s="8">
        <v>7.25</v>
      </c>
      <c r="E26" s="12">
        <v>111</v>
      </c>
      <c r="F26" s="8">
        <v>15.72</v>
      </c>
      <c r="G26" s="12">
        <v>37</v>
      </c>
      <c r="H26" s="8">
        <v>2.77</v>
      </c>
      <c r="I26" s="12">
        <v>0</v>
      </c>
    </row>
    <row r="27" spans="2:9" ht="15" customHeight="1" x14ac:dyDescent="0.2">
      <c r="B27" t="s">
        <v>101</v>
      </c>
      <c r="C27" s="12">
        <v>109</v>
      </c>
      <c r="D27" s="8">
        <v>5.34</v>
      </c>
      <c r="E27" s="12">
        <v>92</v>
      </c>
      <c r="F27" s="8">
        <v>13.03</v>
      </c>
      <c r="G27" s="12">
        <v>17</v>
      </c>
      <c r="H27" s="8">
        <v>1.27</v>
      </c>
      <c r="I27" s="12">
        <v>0</v>
      </c>
    </row>
    <row r="28" spans="2:9" ht="15" customHeight="1" x14ac:dyDescent="0.2">
      <c r="B28" t="s">
        <v>92</v>
      </c>
      <c r="C28" s="12">
        <v>108</v>
      </c>
      <c r="D28" s="8">
        <v>5.29</v>
      </c>
      <c r="E28" s="12">
        <v>32</v>
      </c>
      <c r="F28" s="8">
        <v>4.53</v>
      </c>
      <c r="G28" s="12">
        <v>76</v>
      </c>
      <c r="H28" s="8">
        <v>5.69</v>
      </c>
      <c r="I28" s="12">
        <v>0</v>
      </c>
    </row>
    <row r="29" spans="2:9" ht="15" customHeight="1" x14ac:dyDescent="0.2">
      <c r="B29" t="s">
        <v>85</v>
      </c>
      <c r="C29" s="12">
        <v>107</v>
      </c>
      <c r="D29" s="8">
        <v>5.24</v>
      </c>
      <c r="E29" s="12">
        <v>10</v>
      </c>
      <c r="F29" s="8">
        <v>1.42</v>
      </c>
      <c r="G29" s="12">
        <v>97</v>
      </c>
      <c r="H29" s="8">
        <v>7.26</v>
      </c>
      <c r="I29" s="12">
        <v>0</v>
      </c>
    </row>
    <row r="30" spans="2:9" ht="15" customHeight="1" x14ac:dyDescent="0.2">
      <c r="B30" t="s">
        <v>84</v>
      </c>
      <c r="C30" s="12">
        <v>105</v>
      </c>
      <c r="D30" s="8">
        <v>5.14</v>
      </c>
      <c r="E30" s="12">
        <v>4</v>
      </c>
      <c r="F30" s="8">
        <v>0.56999999999999995</v>
      </c>
      <c r="G30" s="12">
        <v>101</v>
      </c>
      <c r="H30" s="8">
        <v>7.56</v>
      </c>
      <c r="I30" s="12">
        <v>0</v>
      </c>
    </row>
    <row r="31" spans="2:9" ht="15" customHeight="1" x14ac:dyDescent="0.2">
      <c r="B31" t="s">
        <v>86</v>
      </c>
      <c r="C31" s="12">
        <v>100</v>
      </c>
      <c r="D31" s="8">
        <v>4.9000000000000004</v>
      </c>
      <c r="E31" s="12">
        <v>4</v>
      </c>
      <c r="F31" s="8">
        <v>0.56999999999999995</v>
      </c>
      <c r="G31" s="12">
        <v>96</v>
      </c>
      <c r="H31" s="8">
        <v>7.19</v>
      </c>
      <c r="I31" s="12">
        <v>0</v>
      </c>
    </row>
    <row r="32" spans="2:9" ht="15" customHeight="1" x14ac:dyDescent="0.2">
      <c r="B32" t="s">
        <v>100</v>
      </c>
      <c r="C32" s="12">
        <v>70</v>
      </c>
      <c r="D32" s="8">
        <v>3.43</v>
      </c>
      <c r="E32" s="12">
        <v>41</v>
      </c>
      <c r="F32" s="8">
        <v>5.81</v>
      </c>
      <c r="G32" s="12">
        <v>29</v>
      </c>
      <c r="H32" s="8">
        <v>2.17</v>
      </c>
      <c r="I32" s="12">
        <v>0</v>
      </c>
    </row>
    <row r="33" spans="2:9" ht="15" customHeight="1" x14ac:dyDescent="0.2">
      <c r="B33" t="s">
        <v>96</v>
      </c>
      <c r="C33" s="12">
        <v>63</v>
      </c>
      <c r="D33" s="8">
        <v>3.09</v>
      </c>
      <c r="E33" s="12">
        <v>13</v>
      </c>
      <c r="F33" s="8">
        <v>1.84</v>
      </c>
      <c r="G33" s="12">
        <v>50</v>
      </c>
      <c r="H33" s="8">
        <v>3.74</v>
      </c>
      <c r="I33" s="12">
        <v>0</v>
      </c>
    </row>
    <row r="34" spans="2:9" ht="15" customHeight="1" x14ac:dyDescent="0.2">
      <c r="B34" t="s">
        <v>90</v>
      </c>
      <c r="C34" s="12">
        <v>61</v>
      </c>
      <c r="D34" s="8">
        <v>2.99</v>
      </c>
      <c r="E34" s="12">
        <v>37</v>
      </c>
      <c r="F34" s="8">
        <v>5.24</v>
      </c>
      <c r="G34" s="12">
        <v>24</v>
      </c>
      <c r="H34" s="8">
        <v>1.8</v>
      </c>
      <c r="I34" s="12">
        <v>0</v>
      </c>
    </row>
    <row r="35" spans="2:9" ht="15" customHeight="1" x14ac:dyDescent="0.2">
      <c r="B35" t="s">
        <v>95</v>
      </c>
      <c r="C35" s="12">
        <v>59</v>
      </c>
      <c r="D35" s="8">
        <v>2.89</v>
      </c>
      <c r="E35" s="12">
        <v>24</v>
      </c>
      <c r="F35" s="8">
        <v>3.4</v>
      </c>
      <c r="G35" s="12">
        <v>35</v>
      </c>
      <c r="H35" s="8">
        <v>2.62</v>
      </c>
      <c r="I35" s="12">
        <v>0</v>
      </c>
    </row>
    <row r="36" spans="2:9" ht="15" customHeight="1" x14ac:dyDescent="0.2">
      <c r="B36" t="s">
        <v>91</v>
      </c>
      <c r="C36" s="12">
        <v>51</v>
      </c>
      <c r="D36" s="8">
        <v>2.5</v>
      </c>
      <c r="E36" s="12">
        <v>15</v>
      </c>
      <c r="F36" s="8">
        <v>2.12</v>
      </c>
      <c r="G36" s="12">
        <v>36</v>
      </c>
      <c r="H36" s="8">
        <v>2.69</v>
      </c>
      <c r="I36" s="12">
        <v>0</v>
      </c>
    </row>
    <row r="37" spans="2:9" ht="15" customHeight="1" x14ac:dyDescent="0.2">
      <c r="B37" t="s">
        <v>93</v>
      </c>
      <c r="C37" s="12">
        <v>45</v>
      </c>
      <c r="D37" s="8">
        <v>2.2000000000000002</v>
      </c>
      <c r="E37" s="12">
        <v>4</v>
      </c>
      <c r="F37" s="8">
        <v>0.56999999999999995</v>
      </c>
      <c r="G37" s="12">
        <v>41</v>
      </c>
      <c r="H37" s="8">
        <v>3.07</v>
      </c>
      <c r="I37" s="12">
        <v>0</v>
      </c>
    </row>
    <row r="38" spans="2:9" ht="15" customHeight="1" x14ac:dyDescent="0.2">
      <c r="B38" t="s">
        <v>88</v>
      </c>
      <c r="C38" s="12">
        <v>40</v>
      </c>
      <c r="D38" s="8">
        <v>1.96</v>
      </c>
      <c r="E38" s="12">
        <v>0</v>
      </c>
      <c r="F38" s="8">
        <v>0</v>
      </c>
      <c r="G38" s="12">
        <v>40</v>
      </c>
      <c r="H38" s="8">
        <v>2.99</v>
      </c>
      <c r="I38" s="12">
        <v>0</v>
      </c>
    </row>
    <row r="39" spans="2:9" ht="15" customHeight="1" x14ac:dyDescent="0.2">
      <c r="B39" t="s">
        <v>104</v>
      </c>
      <c r="C39" s="12">
        <v>37</v>
      </c>
      <c r="D39" s="8">
        <v>1.81</v>
      </c>
      <c r="E39" s="12">
        <v>3</v>
      </c>
      <c r="F39" s="8">
        <v>0.42</v>
      </c>
      <c r="G39" s="12">
        <v>34</v>
      </c>
      <c r="H39" s="8">
        <v>2.54</v>
      </c>
      <c r="I39" s="12">
        <v>0</v>
      </c>
    </row>
    <row r="40" spans="2:9" ht="15" customHeight="1" x14ac:dyDescent="0.2">
      <c r="B40" t="s">
        <v>89</v>
      </c>
      <c r="C40" s="12">
        <v>37</v>
      </c>
      <c r="D40" s="8">
        <v>1.81</v>
      </c>
      <c r="E40" s="12">
        <v>19</v>
      </c>
      <c r="F40" s="8">
        <v>2.69</v>
      </c>
      <c r="G40" s="12">
        <v>18</v>
      </c>
      <c r="H40" s="8">
        <v>1.35</v>
      </c>
      <c r="I40" s="12">
        <v>0</v>
      </c>
    </row>
    <row r="41" spans="2:9" ht="15" customHeight="1" x14ac:dyDescent="0.2">
      <c r="B41" t="s">
        <v>87</v>
      </c>
      <c r="C41" s="12">
        <v>32</v>
      </c>
      <c r="D41" s="8">
        <v>1.57</v>
      </c>
      <c r="E41" s="12">
        <v>0</v>
      </c>
      <c r="F41" s="8">
        <v>0</v>
      </c>
      <c r="G41" s="12">
        <v>32</v>
      </c>
      <c r="H41" s="8">
        <v>2.4</v>
      </c>
      <c r="I41" s="12">
        <v>0</v>
      </c>
    </row>
    <row r="42" spans="2:9" ht="15" customHeight="1" x14ac:dyDescent="0.2">
      <c r="B42" t="s">
        <v>102</v>
      </c>
      <c r="C42" s="12">
        <v>30</v>
      </c>
      <c r="D42" s="8">
        <v>1.47</v>
      </c>
      <c r="E42" s="12">
        <v>1</v>
      </c>
      <c r="F42" s="8">
        <v>0.14000000000000001</v>
      </c>
      <c r="G42" s="12">
        <v>29</v>
      </c>
      <c r="H42" s="8">
        <v>2.17</v>
      </c>
      <c r="I42" s="12">
        <v>0</v>
      </c>
    </row>
    <row r="43" spans="2:9" ht="15" customHeight="1" x14ac:dyDescent="0.2">
      <c r="B43" t="s">
        <v>105</v>
      </c>
      <c r="C43" s="12">
        <v>30</v>
      </c>
      <c r="D43" s="8">
        <v>1.47</v>
      </c>
      <c r="E43" s="12">
        <v>2</v>
      </c>
      <c r="F43" s="8">
        <v>0.28000000000000003</v>
      </c>
      <c r="G43" s="12">
        <v>28</v>
      </c>
      <c r="H43" s="8">
        <v>2.1</v>
      </c>
      <c r="I43" s="12">
        <v>0</v>
      </c>
    </row>
    <row r="46" spans="2:9" ht="33" customHeight="1" x14ac:dyDescent="0.2">
      <c r="B46" t="s">
        <v>250</v>
      </c>
      <c r="C46" s="10" t="s">
        <v>77</v>
      </c>
      <c r="D46" s="10" t="s">
        <v>78</v>
      </c>
      <c r="E46" s="10" t="s">
        <v>79</v>
      </c>
      <c r="F46" s="10" t="s">
        <v>80</v>
      </c>
      <c r="G46" s="10" t="s">
        <v>81</v>
      </c>
      <c r="H46" s="10" t="s">
        <v>82</v>
      </c>
      <c r="I46" s="10" t="s">
        <v>83</v>
      </c>
    </row>
    <row r="47" spans="2:9" ht="15" customHeight="1" x14ac:dyDescent="0.2">
      <c r="B47" t="s">
        <v>158</v>
      </c>
      <c r="C47" s="12">
        <v>163</v>
      </c>
      <c r="D47" s="8">
        <v>7.98</v>
      </c>
      <c r="E47" s="12">
        <v>80</v>
      </c>
      <c r="F47" s="8">
        <v>11.33</v>
      </c>
      <c r="G47" s="12">
        <v>83</v>
      </c>
      <c r="H47" s="8">
        <v>6.21</v>
      </c>
      <c r="I47" s="12">
        <v>0</v>
      </c>
    </row>
    <row r="48" spans="2:9" ht="15" customHeight="1" x14ac:dyDescent="0.2">
      <c r="B48" t="s">
        <v>164</v>
      </c>
      <c r="C48" s="12">
        <v>97</v>
      </c>
      <c r="D48" s="8">
        <v>4.75</v>
      </c>
      <c r="E48" s="12">
        <v>74</v>
      </c>
      <c r="F48" s="8">
        <v>10.48</v>
      </c>
      <c r="G48" s="12">
        <v>23</v>
      </c>
      <c r="H48" s="8">
        <v>1.72</v>
      </c>
      <c r="I48" s="12">
        <v>0</v>
      </c>
    </row>
    <row r="49" spans="2:9" ht="15" customHeight="1" x14ac:dyDescent="0.2">
      <c r="B49" t="s">
        <v>166</v>
      </c>
      <c r="C49" s="12">
        <v>72</v>
      </c>
      <c r="D49" s="8">
        <v>3.53</v>
      </c>
      <c r="E49" s="12">
        <v>59</v>
      </c>
      <c r="F49" s="8">
        <v>8.36</v>
      </c>
      <c r="G49" s="12">
        <v>13</v>
      </c>
      <c r="H49" s="8">
        <v>0.97</v>
      </c>
      <c r="I49" s="12">
        <v>0</v>
      </c>
    </row>
    <row r="50" spans="2:9" ht="15" customHeight="1" x14ac:dyDescent="0.2">
      <c r="B50" t="s">
        <v>163</v>
      </c>
      <c r="C50" s="12">
        <v>62</v>
      </c>
      <c r="D50" s="8">
        <v>3.04</v>
      </c>
      <c r="E50" s="12">
        <v>57</v>
      </c>
      <c r="F50" s="8">
        <v>8.07</v>
      </c>
      <c r="G50" s="12">
        <v>5</v>
      </c>
      <c r="H50" s="8">
        <v>0.37</v>
      </c>
      <c r="I50" s="12">
        <v>0</v>
      </c>
    </row>
    <row r="51" spans="2:9" ht="15" customHeight="1" x14ac:dyDescent="0.2">
      <c r="B51" t="s">
        <v>159</v>
      </c>
      <c r="C51" s="12">
        <v>45</v>
      </c>
      <c r="D51" s="8">
        <v>2.2000000000000002</v>
      </c>
      <c r="E51" s="12">
        <v>0</v>
      </c>
      <c r="F51" s="8">
        <v>0</v>
      </c>
      <c r="G51" s="12">
        <v>45</v>
      </c>
      <c r="H51" s="8">
        <v>3.37</v>
      </c>
      <c r="I51" s="12">
        <v>0</v>
      </c>
    </row>
    <row r="52" spans="2:9" ht="15" customHeight="1" x14ac:dyDescent="0.2">
      <c r="B52" t="s">
        <v>161</v>
      </c>
      <c r="C52" s="12">
        <v>45</v>
      </c>
      <c r="D52" s="8">
        <v>2.2000000000000002</v>
      </c>
      <c r="E52" s="12">
        <v>33</v>
      </c>
      <c r="F52" s="8">
        <v>4.67</v>
      </c>
      <c r="G52" s="12">
        <v>12</v>
      </c>
      <c r="H52" s="8">
        <v>0.9</v>
      </c>
      <c r="I52" s="12">
        <v>0</v>
      </c>
    </row>
    <row r="53" spans="2:9" ht="15" customHeight="1" x14ac:dyDescent="0.2">
      <c r="B53" t="s">
        <v>165</v>
      </c>
      <c r="C53" s="12">
        <v>45</v>
      </c>
      <c r="D53" s="8">
        <v>2.2000000000000002</v>
      </c>
      <c r="E53" s="12">
        <v>27</v>
      </c>
      <c r="F53" s="8">
        <v>3.82</v>
      </c>
      <c r="G53" s="12">
        <v>18</v>
      </c>
      <c r="H53" s="8">
        <v>1.35</v>
      </c>
      <c r="I53" s="12">
        <v>0</v>
      </c>
    </row>
    <row r="54" spans="2:9" ht="15" customHeight="1" x14ac:dyDescent="0.2">
      <c r="B54" t="s">
        <v>162</v>
      </c>
      <c r="C54" s="12">
        <v>44</v>
      </c>
      <c r="D54" s="8">
        <v>2.15</v>
      </c>
      <c r="E54" s="12">
        <v>36</v>
      </c>
      <c r="F54" s="8">
        <v>5.0999999999999996</v>
      </c>
      <c r="G54" s="12">
        <v>8</v>
      </c>
      <c r="H54" s="8">
        <v>0.6</v>
      </c>
      <c r="I54" s="12">
        <v>0</v>
      </c>
    </row>
    <row r="55" spans="2:9" ht="15" customHeight="1" x14ac:dyDescent="0.2">
      <c r="B55" t="s">
        <v>153</v>
      </c>
      <c r="C55" s="12">
        <v>43</v>
      </c>
      <c r="D55" s="8">
        <v>2.11</v>
      </c>
      <c r="E55" s="12">
        <v>2</v>
      </c>
      <c r="F55" s="8">
        <v>0.28000000000000003</v>
      </c>
      <c r="G55" s="12">
        <v>41</v>
      </c>
      <c r="H55" s="8">
        <v>3.07</v>
      </c>
      <c r="I55" s="12">
        <v>0</v>
      </c>
    </row>
    <row r="56" spans="2:9" ht="15" customHeight="1" x14ac:dyDescent="0.2">
      <c r="B56" t="s">
        <v>160</v>
      </c>
      <c r="C56" s="12">
        <v>40</v>
      </c>
      <c r="D56" s="8">
        <v>1.96</v>
      </c>
      <c r="E56" s="12">
        <v>5</v>
      </c>
      <c r="F56" s="8">
        <v>0.71</v>
      </c>
      <c r="G56" s="12">
        <v>35</v>
      </c>
      <c r="H56" s="8">
        <v>2.62</v>
      </c>
      <c r="I56" s="12">
        <v>0</v>
      </c>
    </row>
    <row r="57" spans="2:9" ht="15" customHeight="1" x14ac:dyDescent="0.2">
      <c r="B57" t="s">
        <v>170</v>
      </c>
      <c r="C57" s="12">
        <v>35</v>
      </c>
      <c r="D57" s="8">
        <v>1.71</v>
      </c>
      <c r="E57" s="12">
        <v>33</v>
      </c>
      <c r="F57" s="8">
        <v>4.67</v>
      </c>
      <c r="G57" s="12">
        <v>2</v>
      </c>
      <c r="H57" s="8">
        <v>0.15</v>
      </c>
      <c r="I57" s="12">
        <v>0</v>
      </c>
    </row>
    <row r="58" spans="2:9" ht="15" customHeight="1" x14ac:dyDescent="0.2">
      <c r="B58" t="s">
        <v>157</v>
      </c>
      <c r="C58" s="12">
        <v>34</v>
      </c>
      <c r="D58" s="8">
        <v>1.67</v>
      </c>
      <c r="E58" s="12">
        <v>3</v>
      </c>
      <c r="F58" s="8">
        <v>0.42</v>
      </c>
      <c r="G58" s="12">
        <v>31</v>
      </c>
      <c r="H58" s="8">
        <v>2.3199999999999998</v>
      </c>
      <c r="I58" s="12">
        <v>0</v>
      </c>
    </row>
    <row r="59" spans="2:9" ht="15" customHeight="1" x14ac:dyDescent="0.2">
      <c r="B59" t="s">
        <v>156</v>
      </c>
      <c r="C59" s="12">
        <v>30</v>
      </c>
      <c r="D59" s="8">
        <v>1.47</v>
      </c>
      <c r="E59" s="12">
        <v>11</v>
      </c>
      <c r="F59" s="8">
        <v>1.56</v>
      </c>
      <c r="G59" s="12">
        <v>19</v>
      </c>
      <c r="H59" s="8">
        <v>1.42</v>
      </c>
      <c r="I59" s="12">
        <v>0</v>
      </c>
    </row>
    <row r="60" spans="2:9" ht="15" customHeight="1" x14ac:dyDescent="0.2">
      <c r="B60" t="s">
        <v>169</v>
      </c>
      <c r="C60" s="12">
        <v>30</v>
      </c>
      <c r="D60" s="8">
        <v>1.47</v>
      </c>
      <c r="E60" s="12">
        <v>15</v>
      </c>
      <c r="F60" s="8">
        <v>2.12</v>
      </c>
      <c r="G60" s="12">
        <v>15</v>
      </c>
      <c r="H60" s="8">
        <v>1.1200000000000001</v>
      </c>
      <c r="I60" s="12">
        <v>0</v>
      </c>
    </row>
    <row r="61" spans="2:9" ht="15" customHeight="1" x14ac:dyDescent="0.2">
      <c r="B61" t="s">
        <v>155</v>
      </c>
      <c r="C61" s="12">
        <v>29</v>
      </c>
      <c r="D61" s="8">
        <v>1.42</v>
      </c>
      <c r="E61" s="12">
        <v>4</v>
      </c>
      <c r="F61" s="8">
        <v>0.56999999999999995</v>
      </c>
      <c r="G61" s="12">
        <v>25</v>
      </c>
      <c r="H61" s="8">
        <v>1.87</v>
      </c>
      <c r="I61" s="12">
        <v>0</v>
      </c>
    </row>
    <row r="62" spans="2:9" ht="15" customHeight="1" x14ac:dyDescent="0.2">
      <c r="B62" t="s">
        <v>168</v>
      </c>
      <c r="C62" s="12">
        <v>29</v>
      </c>
      <c r="D62" s="8">
        <v>1.42</v>
      </c>
      <c r="E62" s="12">
        <v>3</v>
      </c>
      <c r="F62" s="8">
        <v>0.42</v>
      </c>
      <c r="G62" s="12">
        <v>26</v>
      </c>
      <c r="H62" s="8">
        <v>1.95</v>
      </c>
      <c r="I62" s="12">
        <v>0</v>
      </c>
    </row>
    <row r="63" spans="2:9" ht="15" customHeight="1" x14ac:dyDescent="0.2">
      <c r="B63" t="s">
        <v>171</v>
      </c>
      <c r="C63" s="12">
        <v>29</v>
      </c>
      <c r="D63" s="8">
        <v>1.42</v>
      </c>
      <c r="E63" s="12">
        <v>4</v>
      </c>
      <c r="F63" s="8">
        <v>0.56999999999999995</v>
      </c>
      <c r="G63" s="12">
        <v>25</v>
      </c>
      <c r="H63" s="8">
        <v>1.87</v>
      </c>
      <c r="I63" s="12">
        <v>0</v>
      </c>
    </row>
    <row r="64" spans="2:9" ht="15" customHeight="1" x14ac:dyDescent="0.2">
      <c r="B64" t="s">
        <v>151</v>
      </c>
      <c r="C64" s="12">
        <v>28</v>
      </c>
      <c r="D64" s="8">
        <v>1.37</v>
      </c>
      <c r="E64" s="12">
        <v>1</v>
      </c>
      <c r="F64" s="8">
        <v>0.14000000000000001</v>
      </c>
      <c r="G64" s="12">
        <v>27</v>
      </c>
      <c r="H64" s="8">
        <v>2.02</v>
      </c>
      <c r="I64" s="12">
        <v>0</v>
      </c>
    </row>
    <row r="65" spans="2:9" ht="15" customHeight="1" x14ac:dyDescent="0.2">
      <c r="B65" t="s">
        <v>148</v>
      </c>
      <c r="C65" s="12">
        <v>27</v>
      </c>
      <c r="D65" s="8">
        <v>1.32</v>
      </c>
      <c r="E65" s="12">
        <v>1</v>
      </c>
      <c r="F65" s="8">
        <v>0.14000000000000001</v>
      </c>
      <c r="G65" s="12">
        <v>26</v>
      </c>
      <c r="H65" s="8">
        <v>1.95</v>
      </c>
      <c r="I65" s="12">
        <v>0</v>
      </c>
    </row>
    <row r="66" spans="2:9" ht="15" customHeight="1" x14ac:dyDescent="0.2">
      <c r="B66" t="s">
        <v>154</v>
      </c>
      <c r="C66" s="12">
        <v>27</v>
      </c>
      <c r="D66" s="8">
        <v>1.32</v>
      </c>
      <c r="E66" s="12">
        <v>15</v>
      </c>
      <c r="F66" s="8">
        <v>2.12</v>
      </c>
      <c r="G66" s="12">
        <v>12</v>
      </c>
      <c r="H66" s="8">
        <v>0.9</v>
      </c>
      <c r="I66" s="12">
        <v>0</v>
      </c>
    </row>
    <row r="68" spans="2:9" ht="15" customHeight="1" x14ac:dyDescent="0.2">
      <c r="B68" t="s">
        <v>251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65</vt:i4>
      </vt:variant>
      <vt:variant>
        <vt:lpstr>名前付き一覧</vt:lpstr>
      </vt:variant>
      <vt:variant>
        <vt:i4>3</vt:i4>
      </vt:variant>
    </vt:vector>
  </HeadingPairs>
  <TitlesOfParts>
    <vt:vector size="68" baseType="lpstr">
      <vt:lpstr>目次</vt:lpstr>
      <vt:lpstr>産業大分類</vt:lpstr>
      <vt:lpstr>産業中分類</vt:lpstr>
      <vt:lpstr>産業小分類</vt:lpstr>
      <vt:lpstr>千葉県</vt:lpstr>
      <vt:lpstr>千葉市</vt:lpstr>
      <vt:lpstr>千葉市中央区</vt:lpstr>
      <vt:lpstr>千葉市花見川区</vt:lpstr>
      <vt:lpstr>千葉市稲毛区</vt:lpstr>
      <vt:lpstr>千葉市若葉区</vt:lpstr>
      <vt:lpstr>千葉市緑区</vt:lpstr>
      <vt:lpstr>千葉市美浜区</vt:lpstr>
      <vt:lpstr>銚子市</vt:lpstr>
      <vt:lpstr>市川市</vt:lpstr>
      <vt:lpstr>船橋市</vt:lpstr>
      <vt:lpstr>館山市</vt:lpstr>
      <vt:lpstr>木更津市</vt:lpstr>
      <vt:lpstr>松戸市</vt:lpstr>
      <vt:lpstr>野田市</vt:lpstr>
      <vt:lpstr>茂原市</vt:lpstr>
      <vt:lpstr>成田市</vt:lpstr>
      <vt:lpstr>佐倉市</vt:lpstr>
      <vt:lpstr>東金市</vt:lpstr>
      <vt:lpstr>旭市</vt:lpstr>
      <vt:lpstr>習志野市</vt:lpstr>
      <vt:lpstr>柏市</vt:lpstr>
      <vt:lpstr>勝浦市</vt:lpstr>
      <vt:lpstr>市原市</vt:lpstr>
      <vt:lpstr>流山市</vt:lpstr>
      <vt:lpstr>八千代市</vt:lpstr>
      <vt:lpstr>我孫子市</vt:lpstr>
      <vt:lpstr>鴨川市</vt:lpstr>
      <vt:lpstr>鎌ケ谷市</vt:lpstr>
      <vt:lpstr>君津市</vt:lpstr>
      <vt:lpstr>富津市</vt:lpstr>
      <vt:lpstr>浦安市</vt:lpstr>
      <vt:lpstr>四街道市</vt:lpstr>
      <vt:lpstr>袖ケ浦市</vt:lpstr>
      <vt:lpstr>八街市</vt:lpstr>
      <vt:lpstr>印西市</vt:lpstr>
      <vt:lpstr>白井市</vt:lpstr>
      <vt:lpstr>富里市</vt:lpstr>
      <vt:lpstr>南房総市</vt:lpstr>
      <vt:lpstr>匝瑳市</vt:lpstr>
      <vt:lpstr>香取市</vt:lpstr>
      <vt:lpstr>山武市</vt:lpstr>
      <vt:lpstr>いすみ市</vt:lpstr>
      <vt:lpstr>大網白里市</vt:lpstr>
      <vt:lpstr>印旛郡酒々井町</vt:lpstr>
      <vt:lpstr>印旛郡栄町</vt:lpstr>
      <vt:lpstr>香取郡神崎町</vt:lpstr>
      <vt:lpstr>香取郡多古町</vt:lpstr>
      <vt:lpstr>香取郡東庄町</vt:lpstr>
      <vt:lpstr>山武郡九十九里町</vt:lpstr>
      <vt:lpstr>山武郡芝山町</vt:lpstr>
      <vt:lpstr>山武郡横芝光町</vt:lpstr>
      <vt:lpstr>長生郡一宮町</vt:lpstr>
      <vt:lpstr>長生郡睦沢町</vt:lpstr>
      <vt:lpstr>長生郡長生村</vt:lpstr>
      <vt:lpstr>長生郡白子町</vt:lpstr>
      <vt:lpstr>長生郡長柄町</vt:lpstr>
      <vt:lpstr>長生郡長南町</vt:lpstr>
      <vt:lpstr>夷隅郡大多喜町</vt:lpstr>
      <vt:lpstr>夷隅郡御宿町</vt:lpstr>
      <vt:lpstr>安房郡鋸南町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2023-08-17T02:22:16Z</dcterms:created>
  <dcterms:modified xsi:type="dcterms:W3CDTF">2023-08-17T02:22:16Z</dcterms:modified>
</cp:coreProperties>
</file>